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46" yWindow="165" windowWidth="16200" windowHeight="12735" activeTab="4"/>
  </bookViews>
  <sheets>
    <sheet name="tst" sheetId="1" r:id="rId1"/>
    <sheet name="boucles tempos" sheetId="2" r:id="rId2"/>
    <sheet name="LM335" sheetId="3" r:id="rId3"/>
    <sheet name="checking Sin_DDS10.asm" sheetId="4" r:id="rId4"/>
    <sheet name="DDS " sheetId="5" r:id="rId5"/>
    <sheet name="Table de sinus en Hexa" sheetId="6" r:id="rId6"/>
    <sheet name="variables2" sheetId="7" r:id="rId7"/>
    <sheet name="RTCC " sheetId="8" r:id="rId8"/>
    <sheet name="Fequencemetre" sheetId="9" r:id="rId9"/>
    <sheet name="PWM" sheetId="10" r:id="rId10"/>
    <sheet name="Tabelle1" sheetId="11" r:id="rId11"/>
    <sheet name="reg001" sheetId="12" r:id="rId12"/>
    <sheet name="variables1" sheetId="13" r:id="rId13"/>
    <sheet name="Uart" sheetId="14" r:id="rId14"/>
    <sheet name="Ascii converter" sheetId="15" r:id="rId15"/>
    <sheet name="Feuil1" sheetId="16" r:id="rId16"/>
    <sheet name="Comparatif" sheetId="17" r:id="rId17"/>
  </sheets>
  <definedNames>
    <definedName name="bin24_bits">'DDS '!$C$44</definedName>
    <definedName name="count1">'boucles tempos'!$D$15</definedName>
    <definedName name="count2">'boucles tempos'!$D$16</definedName>
    <definedName name="count3">'boucles tempos'!$D$17</definedName>
    <definedName name="CptB" localSheetId="8">'Fequencemetre'!$I$18</definedName>
    <definedName name="CptB" localSheetId="7">'RTCC '!$J$27</definedName>
    <definedName name="CptB">#REF!</definedName>
    <definedName name="CptH" localSheetId="8">'Fequencemetre'!$I$17</definedName>
    <definedName name="CptH" localSheetId="7">'RTCC '!$J$26</definedName>
    <definedName name="CptH">#REF!</definedName>
    <definedName name="cycle">'boucles tempos'!$G$16</definedName>
    <definedName name="decimal">'reg001'!$F$14</definedName>
    <definedName name="duree_cycle">'DDS '!$F$55</definedName>
    <definedName name="freqHz">'DDS '!$D$54</definedName>
    <definedName name="IT" localSheetId="8">'Fequencemetre'!$E$7</definedName>
    <definedName name="IT" localSheetId="7">'RTCC '!$F$16</definedName>
    <definedName name="IT">#REF!</definedName>
    <definedName name="nb_cycles">'DDS '!$E$51</definedName>
    <definedName name="nb_pas_DAC">'DDS '!$F$51</definedName>
    <definedName name="nb_sinusoides">'DDS '!$D$48</definedName>
    <definedName name="Nboucles">'DDS '!$E$54</definedName>
    <definedName name="NbPer" localSheetId="8">'Fequencemetre'!$I$13</definedName>
    <definedName name="NbPer" localSheetId="7">'RTCC '!$J$22</definedName>
    <definedName name="NbPer">#REF!</definedName>
    <definedName name="nombre">'DDS '!$C$51</definedName>
    <definedName name="Periode">'DDS '!$D$55</definedName>
    <definedName name="Quartz">'boucles tempos'!$G$15</definedName>
    <definedName name="quartz__Mhz">'DDS '!$D$51</definedName>
    <definedName name="quartzMhz">'DDS '!$F$54</definedName>
    <definedName name="Reste" localSheetId="8">'Fequencemetre'!$I$19</definedName>
    <definedName name="Reste" localSheetId="7">'RTCC '!$J$28</definedName>
    <definedName name="Reste">#REF!</definedName>
    <definedName name="T1m">'boucles tempos'!$C$3</definedName>
    <definedName name="T2m">'boucles tempos'!$C$4</definedName>
    <definedName name="T3m">'boucles tempos'!$C$5</definedName>
    <definedName name="T4m">'boucles tempos'!$C$6</definedName>
    <definedName name="tics" localSheetId="8">'Fequencemetre'!$F$5</definedName>
    <definedName name="tics" localSheetId="7">'RTCC '!$G$14</definedName>
    <definedName name="tics">#REF!</definedName>
    <definedName name="Tr_de_boucle">'DDS '!$I$51</definedName>
    <definedName name="x">'boucles tempos'!$C$7</definedName>
    <definedName name="_xlnm.Print_Area" localSheetId="1">'boucles tempos'!$A$1:$J$36</definedName>
    <definedName name="_xlnm.Print_Area" localSheetId="3">'checking Sin_DDS10.asm'!$B$1:$H$45</definedName>
    <definedName name="_xlnm.Print_Area" localSheetId="4">'DDS '!$A$1:$M$76</definedName>
    <definedName name="_xlnm.Print_Area" localSheetId="8">'Fequencemetre'!$B$4:$J$23</definedName>
    <definedName name="_xlnm.Print_Area" localSheetId="7">'RTCC '!$C$13:$K$32</definedName>
    <definedName name="_xlnm.Print_Area" localSheetId="5">'Table de sinus en Hexa'!$A$1:$M$45</definedName>
    <definedName name="zone1">'DDS '!$I$3:$J$23</definedName>
  </definedNames>
  <calcPr fullCalcOnLoad="1"/>
</workbook>
</file>

<file path=xl/sharedStrings.xml><?xml version="1.0" encoding="utf-8"?>
<sst xmlns="http://schemas.openxmlformats.org/spreadsheetml/2006/main" count="1480" uniqueCount="926">
  <si>
    <t>T1m</t>
  </si>
  <si>
    <t>T2m</t>
  </si>
  <si>
    <t>T3m</t>
  </si>
  <si>
    <t>T4m</t>
  </si>
  <si>
    <t>x</t>
  </si>
  <si>
    <t>nb E/S</t>
  </si>
  <si>
    <t>ADC</t>
  </si>
  <si>
    <t>interfaces serie</t>
  </si>
  <si>
    <t>pwm</t>
  </si>
  <si>
    <t>DAC</t>
  </si>
  <si>
    <t>comparateur</t>
  </si>
  <si>
    <t>timers</t>
  </si>
  <si>
    <t>largeur des instruction</t>
  </si>
  <si>
    <t>reference en fonction de la taille de la memoire programme (en mots)</t>
  </si>
  <si>
    <t>RAM</t>
  </si>
  <si>
    <t>1 + WDT</t>
  </si>
  <si>
    <t>12 bits</t>
  </si>
  <si>
    <t>PIC12c508</t>
  </si>
  <si>
    <t>PIC12c509</t>
  </si>
  <si>
    <t>14 bits</t>
  </si>
  <si>
    <t>PIC12c671</t>
  </si>
  <si>
    <t>PIC12c672</t>
  </si>
  <si>
    <t>PIC16C52</t>
  </si>
  <si>
    <t>PIC16C54</t>
  </si>
  <si>
    <t>PIC16C56</t>
  </si>
  <si>
    <t>PIC16C58</t>
  </si>
  <si>
    <t>PIC16C554</t>
  </si>
  <si>
    <t>PIC16C556</t>
  </si>
  <si>
    <t>PIC16C558</t>
  </si>
  <si>
    <t>PIC16C61</t>
  </si>
  <si>
    <t>PIC16C620</t>
  </si>
  <si>
    <t>PIC16C621</t>
  </si>
  <si>
    <t>PIC16C622</t>
  </si>
  <si>
    <t>PIC16C710</t>
  </si>
  <si>
    <t>PIC16C71</t>
  </si>
  <si>
    <t>PIC16C715</t>
  </si>
  <si>
    <t>PIC16C711</t>
  </si>
  <si>
    <t>PIC16F83</t>
  </si>
  <si>
    <t>PIC16F84</t>
  </si>
  <si>
    <t>memoire flash avec 64 octets de EEPROM supplementaire</t>
  </si>
  <si>
    <t>PIC16C55</t>
  </si>
  <si>
    <t>PIC16C57</t>
  </si>
  <si>
    <t>I2C / SMB</t>
  </si>
  <si>
    <t>PIC14C000</t>
  </si>
  <si>
    <t>I2C / SPI</t>
  </si>
  <si>
    <t>3 + WDT</t>
  </si>
  <si>
    <t>PIC16C62</t>
  </si>
  <si>
    <t>USART / I2C / SPI</t>
  </si>
  <si>
    <t>PIC16C63</t>
  </si>
  <si>
    <t>PIC16C66</t>
  </si>
  <si>
    <t>PIC16C641</t>
  </si>
  <si>
    <t>PIC16C642</t>
  </si>
  <si>
    <t>PIC16C72</t>
  </si>
  <si>
    <t>PIC16C73</t>
  </si>
  <si>
    <t>PIC16C76</t>
  </si>
  <si>
    <t>PIC16C64</t>
  </si>
  <si>
    <t>PIC16C65</t>
  </si>
  <si>
    <t>PIC16C67</t>
  </si>
  <si>
    <t>PIC16C662</t>
  </si>
  <si>
    <t>PIC16C74</t>
  </si>
  <si>
    <t>PIC16C77</t>
  </si>
  <si>
    <t>USART</t>
  </si>
  <si>
    <t>4 + WDT</t>
  </si>
  <si>
    <t>16 bits</t>
  </si>
  <si>
    <t>PIC17C42</t>
  </si>
  <si>
    <t>PIC17C43</t>
  </si>
  <si>
    <t>PIC17C44</t>
  </si>
  <si>
    <t>2 USART / I2C / SPI</t>
  </si>
  <si>
    <t>PIC17C752</t>
  </si>
  <si>
    <t>PIC17C756</t>
  </si>
  <si>
    <t>PIC16C923</t>
  </si>
  <si>
    <t>PIC16C924</t>
  </si>
  <si>
    <t>Calcul du registre SPBRG (USART PIC) en fonction de la fréquence d'horloge - Par LANDO Alexandre</t>
  </si>
  <si>
    <t>F horloge =</t>
  </si>
  <si>
    <t>Hz         Soit</t>
  </si>
  <si>
    <t>MHz</t>
  </si>
  <si>
    <t>BRGH = 0</t>
  </si>
  <si>
    <t>BRGH = 1</t>
  </si>
  <si>
    <t>Baud</t>
  </si>
  <si>
    <t>SPBRG</t>
  </si>
  <si>
    <t>erreur</t>
  </si>
  <si>
    <t>=((9*T1m+4)*T2m+4)*T3m+1+(9+x)*T4m+6</t>
  </si>
  <si>
    <t>;delay1</t>
  </si>
  <si>
    <t>count1</t>
  </si>
  <si>
    <t>count2</t>
  </si>
  <si>
    <t>count3</t>
  </si>
  <si>
    <t>delay</t>
  </si>
  <si>
    <t xml:space="preserve">dummy           </t>
  </si>
  <si>
    <t>EQU</t>
  </si>
  <si>
    <t>RamG</t>
  </si>
  <si>
    <t xml:space="preserve">dummy1           </t>
  </si>
  <si>
    <t>RamG+1</t>
  </si>
  <si>
    <t>;for 8bit rotates in/out</t>
  </si>
  <si>
    <t>dummy2</t>
  </si>
  <si>
    <t>RamG+2</t>
  </si>
  <si>
    <t>dummy3</t>
  </si>
  <si>
    <t>RamG+3</t>
  </si>
  <si>
    <t>Cpt1</t>
  </si>
  <si>
    <t>RamG+4</t>
  </si>
  <si>
    <t>Cpt2</t>
  </si>
  <si>
    <t>RamG+5</t>
  </si>
  <si>
    <t xml:space="preserve">count1                </t>
  </si>
  <si>
    <t>RamG+6</t>
  </si>
  <si>
    <t>;delay routines</t>
  </si>
  <si>
    <t xml:space="preserve">count2            </t>
  </si>
  <si>
    <t>RamG+7</t>
  </si>
  <si>
    <t xml:space="preserve">count3                  </t>
  </si>
  <si>
    <t>RamG+8</t>
  </si>
  <si>
    <t xml:space="preserve">count4               </t>
  </si>
  <si>
    <t>RamG+9</t>
  </si>
  <si>
    <t xml:space="preserve">count5              </t>
  </si>
  <si>
    <t>RamG+10</t>
  </si>
  <si>
    <t>;used in binary-to-bcd routine</t>
  </si>
  <si>
    <t xml:space="preserve">up_count           </t>
  </si>
  <si>
    <t>RamG+11</t>
  </si>
  <si>
    <t>;count of 0.1 secs when UP switch closed</t>
  </si>
  <si>
    <t xml:space="preserve">down_count            </t>
  </si>
  <si>
    <t>RamG+12</t>
  </si>
  <si>
    <t>;count of 0.1 secs when DOWN switch clock</t>
  </si>
  <si>
    <t xml:space="preserve">Rdecal2         </t>
  </si>
  <si>
    <t>RamG+13</t>
  </si>
  <si>
    <t>;per Mark Sullivan's code 25.7.96</t>
  </si>
  <si>
    <t xml:space="preserve">second          </t>
  </si>
  <si>
    <t>RamG+14</t>
  </si>
  <si>
    <t xml:space="preserve">minute        </t>
  </si>
  <si>
    <t>RamG+15</t>
  </si>
  <si>
    <t xml:space="preserve">hour             </t>
  </si>
  <si>
    <t>RamG+16</t>
  </si>
  <si>
    <t xml:space="preserve">date                  </t>
  </si>
  <si>
    <t>RamG+17</t>
  </si>
  <si>
    <t xml:space="preserve">month                 </t>
  </si>
  <si>
    <t>RamG+18</t>
  </si>
  <si>
    <t xml:space="preserve">day              </t>
  </si>
  <si>
    <t>RamG+19</t>
  </si>
  <si>
    <t xml:space="preserve">year               </t>
  </si>
  <si>
    <t>RamG+20</t>
  </si>
  <si>
    <t xml:space="preserve">temp_f                </t>
  </si>
  <si>
    <t>RamG+21</t>
  </si>
  <si>
    <t xml:space="preserve">;for outputting binary-held data to </t>
  </si>
  <si>
    <t>W_temp</t>
  </si>
  <si>
    <t>RamG+22</t>
  </si>
  <si>
    <t xml:space="preserve">STATUS_temp </t>
  </si>
  <si>
    <t>RamG+23</t>
  </si>
  <si>
    <t>Special_MAE</t>
  </si>
  <si>
    <t>RamG+24</t>
  </si>
  <si>
    <t xml:space="preserve">buff_4                  </t>
  </si>
  <si>
    <t>RamG+25</t>
  </si>
  <si>
    <t xml:space="preserve">; bcd 32 bits -to- 10 digits ascii </t>
  </si>
  <si>
    <t xml:space="preserve">buff_3                  </t>
  </si>
  <si>
    <t>RamG+26</t>
  </si>
  <si>
    <t>buff_2</t>
  </si>
  <si>
    <t>RamG+27</t>
  </si>
  <si>
    <t>buff_1</t>
  </si>
  <si>
    <t>RamG+28</t>
  </si>
  <si>
    <t>temp_a</t>
  </si>
  <si>
    <t>RamG+29</t>
  </si>
  <si>
    <t>temp_b</t>
  </si>
  <si>
    <t>RamG+30</t>
  </si>
  <si>
    <t>temp_c</t>
  </si>
  <si>
    <t>RamG+31</t>
  </si>
  <si>
    <t>temp_d</t>
  </si>
  <si>
    <t>RamG+32</t>
  </si>
  <si>
    <t>temp_e</t>
  </si>
  <si>
    <t>RamG+33</t>
  </si>
  <si>
    <t>RsBuffer</t>
  </si>
  <si>
    <t>RamG+34</t>
  </si>
  <si>
    <t>RsByte</t>
  </si>
  <si>
    <t>RamG+35</t>
  </si>
  <si>
    <t>RsCount</t>
  </si>
  <si>
    <t>RamG+36</t>
  </si>
  <si>
    <t>Selecteur</t>
  </si>
  <si>
    <t>RamG+37</t>
  </si>
  <si>
    <t>temp</t>
  </si>
  <si>
    <t>RamG+38</t>
  </si>
  <si>
    <t>bcent</t>
  </si>
  <si>
    <t>RamG+39</t>
  </si>
  <si>
    <t>; conversion BCD 4 digits -&gt; ascii</t>
  </si>
  <si>
    <t>bdix</t>
  </si>
  <si>
    <t>RamG+40</t>
  </si>
  <si>
    <t>bun</t>
  </si>
  <si>
    <t>RamG+41</t>
  </si>
  <si>
    <t>btmp</t>
  </si>
  <si>
    <t>RamG+42</t>
  </si>
  <si>
    <t>btmp1</t>
  </si>
  <si>
    <t>RamG+43</t>
  </si>
  <si>
    <t>dixmil</t>
  </si>
  <si>
    <t>RamG+44</t>
  </si>
  <si>
    <t>mille</t>
  </si>
  <si>
    <t>RamG+45</t>
  </si>
  <si>
    <t>cent</t>
  </si>
  <si>
    <t>RamG+46</t>
  </si>
  <si>
    <t>dix</t>
  </si>
  <si>
    <t>RamG+47</t>
  </si>
  <si>
    <t>un</t>
  </si>
  <si>
    <t>RamG+48</t>
  </si>
  <si>
    <t>Lo_Temp</t>
  </si>
  <si>
    <t>RamG+49</t>
  </si>
  <si>
    <t>; Max187</t>
  </si>
  <si>
    <t xml:space="preserve">Hi_Temp </t>
  </si>
  <si>
    <t>RamG+50</t>
  </si>
  <si>
    <t>FIELD</t>
  </si>
  <si>
    <t>RamG+51</t>
  </si>
  <si>
    <t>; Temporary storage for field bit</t>
  </si>
  <si>
    <t xml:space="preserve">TOGGLE      </t>
  </si>
  <si>
    <t>RamG+52</t>
  </si>
  <si>
    <t>; The RC5 Toggle bit</t>
  </si>
  <si>
    <t xml:space="preserve">SYSTEM     </t>
  </si>
  <si>
    <t>RamG+53</t>
  </si>
  <si>
    <t>; The RC5 System word</t>
  </si>
  <si>
    <t xml:space="preserve">COMND   </t>
  </si>
  <si>
    <t>RamG+54</t>
  </si>
  <si>
    <t>; The RC5 Command word</t>
  </si>
  <si>
    <t xml:space="preserve">MZDATA          </t>
  </si>
  <si>
    <t>RamG+55</t>
  </si>
  <si>
    <t>; The RC5 extra Data word</t>
  </si>
  <si>
    <t>MZ_FLAG</t>
  </si>
  <si>
    <t>RamG+56</t>
  </si>
  <si>
    <t>; Set if there is an extra data word</t>
  </si>
  <si>
    <t>PARSE_FLAGS</t>
  </si>
  <si>
    <t>RamG+57</t>
  </si>
  <si>
    <t>; DECODE returns its data in this</t>
  </si>
  <si>
    <t xml:space="preserve">POINTER   </t>
  </si>
  <si>
    <t>RamG+58</t>
  </si>
  <si>
    <t>; Used in TABLE_MSG subroutine</t>
  </si>
  <si>
    <t xml:space="preserve">ASCII_O            </t>
  </si>
  <si>
    <t>RamG+59</t>
  </si>
  <si>
    <t>; ASCII One's digit to print</t>
  </si>
  <si>
    <t xml:space="preserve">ASCII_T         </t>
  </si>
  <si>
    <t>RamG+60</t>
  </si>
  <si>
    <t>; ASCII Ten's digit to print</t>
  </si>
  <si>
    <t xml:space="preserve">ASCII_H        </t>
  </si>
  <si>
    <t>RamG+61</t>
  </si>
  <si>
    <t>; ASCII Hundred's digit to print</t>
  </si>
  <si>
    <t>BIT_COUNT</t>
  </si>
  <si>
    <t>RamG+62</t>
  </si>
  <si>
    <t>; Counter for incoming bits</t>
  </si>
  <si>
    <t>BYTE_COUNT</t>
  </si>
  <si>
    <t>RamG+63</t>
  </si>
  <si>
    <t>; Counter for buffer bytes</t>
  </si>
  <si>
    <t>TEMP</t>
  </si>
  <si>
    <t>RamG+64</t>
  </si>
  <si>
    <t>; Used by PARSE to hold the 2-bit pattern</t>
  </si>
  <si>
    <t>SERIAL_BUF</t>
  </si>
  <si>
    <t>RamG+65</t>
  </si>
  <si>
    <t>; Buffer for incoming bitstream</t>
  </si>
  <si>
    <t>SERIAL_2</t>
  </si>
  <si>
    <t>RamG+66</t>
  </si>
  <si>
    <t>SERIAL_3</t>
  </si>
  <si>
    <t>RamG+67</t>
  </si>
  <si>
    <t>SERIAL_4</t>
  </si>
  <si>
    <t>RamG+68</t>
  </si>
  <si>
    <t>SERIAL_5</t>
  </si>
  <si>
    <t>RamG+69</t>
  </si>
  <si>
    <t>SERIAL_6</t>
  </si>
  <si>
    <t>RamG+70</t>
  </si>
  <si>
    <t>LCDtmp</t>
  </si>
  <si>
    <t xml:space="preserve">EQU </t>
  </si>
  <si>
    <t>RamG+71</t>
  </si>
  <si>
    <t>LCDtmp1</t>
  </si>
  <si>
    <t>RamG+72</t>
  </si>
  <si>
    <t>; variables 16 bits</t>
  </si>
  <si>
    <t xml:space="preserve">Consigne </t>
  </si>
  <si>
    <t>RamG+73</t>
  </si>
  <si>
    <t>MesTamb</t>
  </si>
  <si>
    <t>RamG+75</t>
  </si>
  <si>
    <t>MesText</t>
  </si>
  <si>
    <t>RamG+77</t>
  </si>
  <si>
    <t>MesAccu</t>
  </si>
  <si>
    <t>RamG+79</t>
  </si>
  <si>
    <t xml:space="preserve">StateAccu </t>
  </si>
  <si>
    <t>RamG+81</t>
  </si>
  <si>
    <t>valx</t>
  </si>
  <si>
    <t>RamG+83</t>
  </si>
  <si>
    <t>val1</t>
  </si>
  <si>
    <t>RamG+85</t>
  </si>
  <si>
    <t>val2</t>
  </si>
  <si>
    <t>RamG+87</t>
  </si>
  <si>
    <t>result</t>
  </si>
  <si>
    <t>RamG+89</t>
  </si>
  <si>
    <t>RamG_End</t>
  </si>
  <si>
    <t>RamG+90</t>
  </si>
  <si>
    <t>LCD_DATA</t>
  </si>
  <si>
    <t>PORTB</t>
  </si>
  <si>
    <t>; LCD: Port Data  ( bits 4 à 7 )</t>
  </si>
  <si>
    <t>LCD_DATA_TRIS</t>
  </si>
  <si>
    <t>TRISB</t>
  </si>
  <si>
    <t>LCD_CTRL</t>
  </si>
  <si>
    <t>PORTA</t>
  </si>
  <si>
    <t xml:space="preserve">; LCD: Port Ctrl </t>
  </si>
  <si>
    <t>LCD_CTRL_TRIS</t>
  </si>
  <si>
    <t>TRISA</t>
  </si>
  <si>
    <t>;LCD_RW</t>
  </si>
  <si>
    <t>; LCD: Ligne de Lecture/Ecriture de l'afficheur</t>
  </si>
  <si>
    <t>LCD_E</t>
  </si>
  <si>
    <t>; LCD: Ligne de commande de controle de l'afficheur</t>
  </si>
  <si>
    <t>LCD_RS</t>
  </si>
  <si>
    <t xml:space="preserve">EQU  </t>
  </si>
  <si>
    <t>; LCD: Ligne de selection de l'afficheur</t>
  </si>
  <si>
    <t>offset</t>
  </si>
  <si>
    <t>EEPROM</t>
  </si>
  <si>
    <t xml:space="preserve"> 0x2100</t>
  </si>
  <si>
    <t xml:space="preserve">LINE1          </t>
  </si>
  <si>
    <t>0x080</t>
  </si>
  <si>
    <t>; Set display to line 1 character 0</t>
  </si>
  <si>
    <t xml:space="preserve">LINE2                  </t>
  </si>
  <si>
    <t>0x0C0</t>
  </si>
  <si>
    <t>; Set display to line 2 character 0</t>
  </si>
  <si>
    <t xml:space="preserve">FUNCTION_SET </t>
  </si>
  <si>
    <t xml:space="preserve">0x028  </t>
  </si>
  <si>
    <t xml:space="preserve"> ; 4 bits, 2 lines, 5x7 Font </t>
  </si>
  <si>
    <t xml:space="preserve">DISP_ON     </t>
  </si>
  <si>
    <t>0x00C</t>
  </si>
  <si>
    <t>; Display on</t>
  </si>
  <si>
    <t xml:space="preserve">DISP_ON_C       </t>
  </si>
  <si>
    <t>0x00E</t>
  </si>
  <si>
    <t xml:space="preserve"> ; Display on, Cursor on</t>
  </si>
  <si>
    <t xml:space="preserve">DISP_ON_B        </t>
  </si>
  <si>
    <t>0x00F</t>
  </si>
  <si>
    <t>; Display on, Cursor on, Blink cursor</t>
  </si>
  <si>
    <t xml:space="preserve">DISP_OFF   </t>
  </si>
  <si>
    <t>0x008</t>
  </si>
  <si>
    <t xml:space="preserve"> ; Display off</t>
  </si>
  <si>
    <t xml:space="preserve">CLR_DISP    </t>
  </si>
  <si>
    <t>0x001</t>
  </si>
  <si>
    <t xml:space="preserve"> ; Clear the Display</t>
  </si>
  <si>
    <t xml:space="preserve">ENTRY_INC     </t>
  </si>
  <si>
    <t>0x006</t>
  </si>
  <si>
    <t xml:space="preserve">ENTRY_INC_S      </t>
  </si>
  <si>
    <t>0x007</t>
  </si>
  <si>
    <t xml:space="preserve">ENTRY_DEC       </t>
  </si>
  <si>
    <t>0x004</t>
  </si>
  <si>
    <t xml:space="preserve">ENTRY_DEC_S      </t>
  </si>
  <si>
    <t>0x005</t>
  </si>
  <si>
    <t xml:space="preserve">DD_RAM_ADDR      </t>
  </si>
  <si>
    <t xml:space="preserve"> ; Least Significant 7-bit are for address</t>
  </si>
  <si>
    <t xml:space="preserve">DD_RAM_UL        </t>
  </si>
  <si>
    <t>; Upper Left coner of the Display</t>
  </si>
  <si>
    <t>IR_read</t>
  </si>
  <si>
    <t>equ     0</t>
  </si>
  <si>
    <t>#define SERIAL_TX</t>
  </si>
  <si>
    <t>PORTB,7 ;rs232 serial transmit line Rb7</t>
  </si>
  <si>
    <t>#define SERIAL_RX</t>
  </si>
  <si>
    <t>PORTB,0 ;rs232 serial Receive  line Rb0</t>
  </si>
  <si>
    <t>;-----------------------------------------------------</t>
  </si>
  <si>
    <t xml:space="preserve">#define DS1302_RST </t>
  </si>
  <si>
    <t>PORTA,2</t>
  </si>
  <si>
    <t>;5 RTC reset port data line LO=reset HI=active</t>
  </si>
  <si>
    <t>#define DS1302_SCLK</t>
  </si>
  <si>
    <t>PORTB,6</t>
  </si>
  <si>
    <t xml:space="preserve">;7 RTC clock port data line </t>
  </si>
  <si>
    <t>#define DS1302_DATA</t>
  </si>
  <si>
    <t>PORTB,2</t>
  </si>
  <si>
    <t>;6 RTC I/O port data line</t>
  </si>
  <si>
    <t>#define DS1302_SENS_IO</t>
  </si>
  <si>
    <t>TRISB,2</t>
  </si>
  <si>
    <t>;sens I/O port data line</t>
  </si>
  <si>
    <t>#define dataq</t>
  </si>
  <si>
    <t xml:space="preserve">;6 RTC bit data line </t>
  </si>
  <si>
    <t>#define Max_CS</t>
  </si>
  <si>
    <t>PORTA,3</t>
  </si>
  <si>
    <t>;7 Max select line Hi=reset LO=active</t>
  </si>
  <si>
    <t>#define Max_CLOCK</t>
  </si>
  <si>
    <t>;8 Max Clock line</t>
  </si>
  <si>
    <t>#define Max_DATA</t>
  </si>
  <si>
    <t>PORTB,1</t>
  </si>
  <si>
    <t>;6 Max data line</t>
  </si>
  <si>
    <t>mS</t>
  </si>
  <si>
    <t>CYCLE</t>
  </si>
  <si>
    <t>RB0</t>
  </si>
  <si>
    <t xml:space="preserve">RA4   </t>
  </si>
  <si>
    <t xml:space="preserve">;start bit1    </t>
  </si>
  <si>
    <t>;NAT=1</t>
  </si>
  <si>
    <t>;TOGLE=1</t>
  </si>
  <si>
    <t>; code TV =0</t>
  </si>
  <si>
    <t>decimal</t>
  </si>
  <si>
    <t>hexa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</si>
  <si>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</si>
  <si>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</si>
  <si>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</si>
  <si>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</si>
  <si>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</si>
  <si>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</si>
  <si>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</si>
  <si>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</si>
  <si>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</si>
  <si>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</si>
  <si>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</t>
  </si>
  <si>
    <t>B</t>
  </si>
  <si>
    <t>C</t>
  </si>
  <si>
    <t>D</t>
  </si>
  <si>
    <t>E</t>
  </si>
  <si>
    <t>F</t>
  </si>
  <si>
    <t>sec</t>
  </si>
  <si>
    <t>µS</t>
  </si>
  <si>
    <t>quartz</t>
  </si>
  <si>
    <t>Mhz</t>
  </si>
  <si>
    <t>cycle</t>
  </si>
  <si>
    <t>=[ 5*(count3-1)+1282*(count2-1)+327684*(count1-1)+6 ] * cycle</t>
  </si>
  <si>
    <t>Calculs tempo voir delaisxxx.inc</t>
  </si>
  <si>
    <t>Prescaler</t>
  </si>
  <si>
    <t>time</t>
  </si>
  <si>
    <t>Quartz</t>
  </si>
  <si>
    <t>Oscillator</t>
  </si>
  <si>
    <t>Prescaller</t>
  </si>
  <si>
    <t>Time period S</t>
  </si>
  <si>
    <t>Offset</t>
  </si>
  <si>
    <t>Freq</t>
  </si>
  <si>
    <t>Value</t>
  </si>
  <si>
    <t>div by 4</t>
  </si>
  <si>
    <t>Overflow</t>
  </si>
  <si>
    <t>Time</t>
  </si>
  <si>
    <t>Pulses</t>
  </si>
  <si>
    <t>Number</t>
  </si>
  <si>
    <t>duration</t>
  </si>
  <si>
    <t>per time</t>
  </si>
  <si>
    <t>of loops</t>
  </si>
  <si>
    <t>clock</t>
  </si>
  <si>
    <t>prediviseur</t>
  </si>
  <si>
    <t>tics</t>
  </si>
  <si>
    <t>preload TMR0</t>
  </si>
  <si>
    <t>comptage TMR0</t>
  </si>
  <si>
    <t>soit</t>
  </si>
  <si>
    <t>IT</t>
  </si>
  <si>
    <t>IT (interrupt)</t>
  </si>
  <si>
    <t>start</t>
  </si>
  <si>
    <t>stop</t>
  </si>
  <si>
    <t>Drm=2</t>
  </si>
  <si>
    <t>Drm=1</t>
  </si>
  <si>
    <t>Drm=0</t>
  </si>
  <si>
    <t>Drm=4</t>
  </si>
  <si>
    <t>NB de Periodes NBP</t>
  </si>
  <si>
    <t>periodes</t>
  </si>
  <si>
    <t>Interrupts</t>
  </si>
  <si>
    <t>||||||||||||||</t>
  </si>
  <si>
    <t>||||||||||</t>
  </si>
  <si>
    <t>InTerrupts</t>
  </si>
  <si>
    <t>Pic Clock cycle</t>
  </si>
  <si>
    <t>CptH</t>
  </si>
  <si>
    <t xml:space="preserve">IT x </t>
  </si>
  <si>
    <t>CptB</t>
  </si>
  <si>
    <t>reste</t>
  </si>
  <si>
    <t>timercount</t>
  </si>
  <si>
    <t>Periode =[(CptH+CptB)*IT+Reste*tics]/NbPer</t>
  </si>
  <si>
    <t>Frequence</t>
  </si>
  <si>
    <t>Hz</t>
  </si>
  <si>
    <t>Samples/(2*Pi) :</t>
  </si>
  <si>
    <t>16 Bit =</t>
  </si>
  <si>
    <t>Offset :</t>
  </si>
  <si>
    <t>x :</t>
  </si>
  <si>
    <t>f(x) :</t>
  </si>
  <si>
    <t>16 Bit :</t>
  </si>
  <si>
    <t>Hi-Byte :</t>
  </si>
  <si>
    <t>Lo-Byte :</t>
  </si>
  <si>
    <t>PR2 Value</t>
  </si>
  <si>
    <t>PWM Freq</t>
  </si>
  <si>
    <t>Resolution</t>
  </si>
  <si>
    <t xml:space="preserve"> 1, 4, 16</t>
  </si>
  <si>
    <t>Frequence-metre reciproque</t>
  </si>
  <si>
    <t>delai</t>
  </si>
  <si>
    <t>TMR0 cycles</t>
  </si>
  <si>
    <t>Herz</t>
  </si>
  <si>
    <t>diviseur</t>
  </si>
  <si>
    <t>Startat_H</t>
  </si>
  <si>
    <t>StartAt_M</t>
  </si>
  <si>
    <t>StartAT_L</t>
  </si>
  <si>
    <t>Word 24 bits</t>
  </si>
  <si>
    <t>Hexa</t>
  </si>
  <si>
    <t>24 bits -&gt;</t>
  </si>
  <si>
    <t>=INDEX(zone1;ENT(C20/16)+1;2)&amp;INDEX(zone1;C20-ENT(C20/16)*16+1;2)&amp;INDEX(zone1;ENT(D20/16)+1;2)&amp;INDEX(zone1;D20-ENT(D20/16)*16+1;2)&amp;INDEX(zone1;ENT(E20/16)+1;2)&amp;INDEX(zone1;E20-ENT(E20/16)*16+1;2)</t>
  </si>
  <si>
    <t xml:space="preserve">                CBLOCK  RAM_INT</t>
  </si>
  <si>
    <t xml:space="preserve">                SAVE_W_REG </t>
  </si>
  <si>
    <t xml:space="preserve">                ENC_HISTORY </t>
  </si>
  <si>
    <t>; Last 4 samples of encoder state.</t>
  </si>
  <si>
    <t xml:space="preserve">                COUNT_0                         </t>
  </si>
  <si>
    <t xml:space="preserve">                COUNT_1                         </t>
  </si>
  <si>
    <t xml:space="preserve">                COUNT_2                         </t>
  </si>
  <si>
    <t xml:space="preserve">                COUNT_3                         </t>
  </si>
  <si>
    <t xml:space="preserve">                COUNT_4                         </t>
  </si>
  <si>
    <t xml:space="preserve">                TEMP_1                          </t>
  </si>
  <si>
    <t xml:space="preserve">                TEMP_2                          </t>
  </si>
  <si>
    <t xml:space="preserve">                TEMP_3                          </t>
  </si>
  <si>
    <t xml:space="preserve">                ENC_COUNTER                     </t>
  </si>
  <si>
    <t xml:space="preserve">                INT_COUNT                       </t>
  </si>
  <si>
    <t xml:space="preserve">                SW_B_CNT                        </t>
  </si>
  <si>
    <t xml:space="preserve">                SW_B_OLD                        </t>
  </si>
  <si>
    <t xml:space="preserve">                SW_C_CNT                        </t>
  </si>
  <si>
    <t xml:space="preserve">                SW_BC_CNT                       </t>
  </si>
  <si>
    <t xml:space="preserve">                SW_BC_OLD                       </t>
  </si>
  <si>
    <t xml:space="preserve">                TIMEOUT_L                       </t>
  </si>
  <si>
    <t xml:space="preserve">                TIMEOUT_H                       </t>
  </si>
  <si>
    <t xml:space="preserve">                EEPROM_WRITE                    </t>
  </si>
  <si>
    <t xml:space="preserve">                FLAGS                           </t>
  </si>
  <si>
    <t xml:space="preserve">                FLAG2                           </t>
  </si>
  <si>
    <t xml:space="preserve">                STEP_NUM                        </t>
  </si>
  <si>
    <t xml:space="preserve">                STEP_RATE                       </t>
  </si>
  <si>
    <t xml:space="preserve">                ARG1_10                         </t>
  </si>
  <si>
    <t xml:space="preserve">                ARG1_9                          </t>
  </si>
  <si>
    <t xml:space="preserve">                ARG1_8                          </t>
  </si>
  <si>
    <t xml:space="preserve">                ARG1_7                          </t>
  </si>
  <si>
    <t xml:space="preserve">                ARG1_6                          </t>
  </si>
  <si>
    <t xml:space="preserve">                ARG1_5                          </t>
  </si>
  <si>
    <t xml:space="preserve">                ARG1_4                          </t>
  </si>
  <si>
    <t xml:space="preserve">                ARG1_3                          </t>
  </si>
  <si>
    <t xml:space="preserve">                ARG1_2                          </t>
  </si>
  <si>
    <t xml:space="preserve">                ARG1_1                          </t>
  </si>
  <si>
    <t xml:space="preserve">                ARG1_0                          </t>
  </si>
  <si>
    <t xml:space="preserve">                ARG2_4                          </t>
  </si>
  <si>
    <t xml:space="preserve">                ARG2_3                          </t>
  </si>
  <si>
    <t xml:space="preserve">                ARG2_2                          </t>
  </si>
  <si>
    <t xml:space="preserve">                ARG2_1                          </t>
  </si>
  <si>
    <t xml:space="preserve">                ARG2_0                          </t>
  </si>
  <si>
    <t xml:space="preserve">                ARG3_4                          </t>
  </si>
  <si>
    <t xml:space="preserve">                ARG3_3                          </t>
  </si>
  <si>
    <t xml:space="preserve">                ARG3_2                          </t>
  </si>
  <si>
    <t xml:space="preserve">                ARG3_1                          </t>
  </si>
  <si>
    <t xml:space="preserve">                ARG3_0                          </t>
  </si>
  <si>
    <t xml:space="preserve">                ARG4_4                          </t>
  </si>
  <si>
    <t xml:space="preserve">                ARG4_3                          </t>
  </si>
  <si>
    <t xml:space="preserve">                ARG4_2                          </t>
  </si>
  <si>
    <t xml:space="preserve">                ARG4_1                          </t>
  </si>
  <si>
    <t xml:space="preserve">                ARG4_0                          </t>
  </si>
  <si>
    <t xml:space="preserve">                SAVE_STATUS                     </t>
  </si>
  <si>
    <t>; Counter for delay routine.</t>
  </si>
  <si>
    <t>; General counter variables.</t>
  </si>
  <si>
    <t>; ** All variables from here to the end **</t>
  </si>
  <si>
    <t>;    of RAM are cleared at power up.</t>
  </si>
  <si>
    <t>;</t>
  </si>
  <si>
    <t>; Temporary storage.</t>
  </si>
  <si>
    <t>;        "</t>
  </si>
  <si>
    <t>; 1 to 38 = CW. -1 to -38 = CCW.</t>
  </si>
  <si>
    <t>; 8 to 1. Decremented every 1.024 mS.</t>
  </si>
  <si>
    <t>; CAL switch pressed counter. (x 8mS)</t>
  </si>
  <si>
    <t>; State of old switch count.</t>
  </si>
  <si>
    <t>; TX switch pressed counter.  (x 8mS)</t>
  </si>
  <si>
    <t>; RIT switch pressed counter. (x 8mS)</t>
  </si>
  <si>
    <t>; 16 bit display timeout down counter,</t>
  </si>
  <si>
    <t>; return to main display when = 0.</t>
  </si>
  <si>
    <t>; EEPROM write update down counter.</t>
  </si>
  <si>
    <t>; 8 misc flags.</t>
  </si>
  <si>
    <t>;       "</t>
  </si>
  <si>
    <t>; 40 bit frequency.</t>
  </si>
  <si>
    <t>; LCD cursor pos &amp; step size num.(0-7)</t>
  </si>
  <si>
    <t>; (Do not separate frequency &amp; STEP_SIZE)</t>
  </si>
  <si>
    <t>; 40 bit previous DDS freq.</t>
  </si>
  <si>
    <t>; MSD.    11 byte ASCII buffer.</t>
  </si>
  <si>
    <t>; MSD. \</t>
  </si>
  <si>
    <t>;       |</t>
  </si>
  <si>
    <t>;       | 80 bit maths buffer.</t>
  </si>
  <si>
    <t>; LSD. /</t>
  </si>
  <si>
    <t>;       | 40 bit maths buffer.</t>
  </si>
  <si>
    <t>; FOR INTERUPT SERVIVE ROUTINE.</t>
  </si>
  <si>
    <t>0x20</t>
  </si>
  <si>
    <t>0x21</t>
  </si>
  <si>
    <t xml:space="preserve">                FREQUENCY                     </t>
  </si>
  <si>
    <t xml:space="preserve">                DDS_OLD                       </t>
  </si>
  <si>
    <t>0x22</t>
  </si>
  <si>
    <t>0x23</t>
  </si>
  <si>
    <t>0x24</t>
  </si>
  <si>
    <t>0x25</t>
  </si>
  <si>
    <t>0x26</t>
  </si>
  <si>
    <t>0x27</t>
  </si>
  <si>
    <t>0x28</t>
  </si>
  <si>
    <t>0x29</t>
  </si>
  <si>
    <t>0x30</t>
  </si>
  <si>
    <t>0x31</t>
  </si>
  <si>
    <t>0x32</t>
  </si>
  <si>
    <t>0x33</t>
  </si>
  <si>
    <t>0x34</t>
  </si>
  <si>
    <t>0x35</t>
  </si>
  <si>
    <t>0x36</t>
  </si>
  <si>
    <t>0x37</t>
  </si>
  <si>
    <t>0x38</t>
  </si>
  <si>
    <t>0x39</t>
  </si>
  <si>
    <t>0x40</t>
  </si>
  <si>
    <t>0x41</t>
  </si>
  <si>
    <t>0x3A</t>
  </si>
  <si>
    <t>0x2B</t>
  </si>
  <si>
    <t>0x2A</t>
  </si>
  <si>
    <t>0x2C</t>
  </si>
  <si>
    <t>0x2D</t>
  </si>
  <si>
    <t>0x2E</t>
  </si>
  <si>
    <t>0x2F</t>
  </si>
  <si>
    <t>0x42</t>
  </si>
  <si>
    <t>0x3B</t>
  </si>
  <si>
    <t>0x3C</t>
  </si>
  <si>
    <t>0x3D</t>
  </si>
  <si>
    <t>0x3E</t>
  </si>
  <si>
    <t>0x3F</t>
  </si>
  <si>
    <t>0x43</t>
  </si>
  <si>
    <t>0x44</t>
  </si>
  <si>
    <t>0x45</t>
  </si>
  <si>
    <t>0x46</t>
  </si>
  <si>
    <t>0x47</t>
  </si>
  <si>
    <t>0x48</t>
  </si>
  <si>
    <t>0x49</t>
  </si>
  <si>
    <t>0x4B</t>
  </si>
  <si>
    <t>0x4C</t>
  </si>
  <si>
    <t>0x4D</t>
  </si>
  <si>
    <t>0x4E</t>
  </si>
  <si>
    <t>0x4F</t>
  </si>
  <si>
    <t>0x4A</t>
  </si>
  <si>
    <t>0x12</t>
  </si>
  <si>
    <t>0x13</t>
  </si>
  <si>
    <t>0x14</t>
  </si>
  <si>
    <t>0x15</t>
  </si>
  <si>
    <t>0x16</t>
  </si>
  <si>
    <t>0x17</t>
  </si>
  <si>
    <t>0x18</t>
  </si>
  <si>
    <t>0x19</t>
  </si>
  <si>
    <t>0x1A</t>
  </si>
  <si>
    <t>0x1B</t>
  </si>
  <si>
    <t>0x1C</t>
  </si>
  <si>
    <t>0x1D</t>
  </si>
  <si>
    <t>0x1E</t>
  </si>
  <si>
    <t>0x1F</t>
  </si>
  <si>
    <t>0x10</t>
  </si>
  <si>
    <t>0x11</t>
  </si>
  <si>
    <t>;16F84</t>
  </si>
  <si>
    <t>;limit maxi for 16F84</t>
  </si>
  <si>
    <t>0x0C</t>
  </si>
  <si>
    <t>0x0D</t>
  </si>
  <si>
    <t>0x0E</t>
  </si>
  <si>
    <t>0x0F</t>
  </si>
  <si>
    <t>0x7F</t>
  </si>
  <si>
    <t>0x7E</t>
  </si>
  <si>
    <t>EQU     RamStart+04</t>
  </si>
  <si>
    <t>EQU     RamStart+05</t>
  </si>
  <si>
    <t>EQU     RamStart+06</t>
  </si>
  <si>
    <t>EQU     RamStart+07</t>
  </si>
  <si>
    <t>EQU     RamStart+08</t>
  </si>
  <si>
    <t>EQU     RamStart+09</t>
  </si>
  <si>
    <t>EQU     RamStart+10</t>
  </si>
  <si>
    <t>EQU     RamStart+11</t>
  </si>
  <si>
    <t>EQU     RamStart+12</t>
  </si>
  <si>
    <t>EQU     RamStart+13</t>
  </si>
  <si>
    <t>EQU     RamStart+14</t>
  </si>
  <si>
    <t>EQU     RamStart+15</t>
  </si>
  <si>
    <t>EQU     RamStart+16</t>
  </si>
  <si>
    <t>EQU     RamStart+17</t>
  </si>
  <si>
    <t>EQU     RamStart+18</t>
  </si>
  <si>
    <t>EQU     RamStart+19</t>
  </si>
  <si>
    <t>EQU     RamStart+20</t>
  </si>
  <si>
    <t>EQU     RamStart+21</t>
  </si>
  <si>
    <t>EQU     RamStart+22</t>
  </si>
  <si>
    <t>EQU     RamStart+23</t>
  </si>
  <si>
    <t>EQU     RamStart+24</t>
  </si>
  <si>
    <t>EQU     RamStart+25</t>
  </si>
  <si>
    <t>EQU     RamStart+26</t>
  </si>
  <si>
    <t>EQU     RamStart+27</t>
  </si>
  <si>
    <t>EQU     RamStart+28</t>
  </si>
  <si>
    <t>EQU     RamStart+29</t>
  </si>
  <si>
    <t>EQU     RamStart+30</t>
  </si>
  <si>
    <t>EQU     RamStart+31</t>
  </si>
  <si>
    <t>EQU     RamStart+32</t>
  </si>
  <si>
    <t>EQU     RamStart+33</t>
  </si>
  <si>
    <t>EQU     RamStart+34</t>
  </si>
  <si>
    <t>EQU     RamStart+35</t>
  </si>
  <si>
    <t>EQU     RamStart+36</t>
  </si>
  <si>
    <t>EQU     RamStart+37</t>
  </si>
  <si>
    <t>EQU     RamStart+38</t>
  </si>
  <si>
    <t>EQU     RamStart+39</t>
  </si>
  <si>
    <t>EQU     RamStart+40</t>
  </si>
  <si>
    <t>EQU     RamStart+41</t>
  </si>
  <si>
    <t>EQU     RamStart+42</t>
  </si>
  <si>
    <t>EQU     RamStart+43</t>
  </si>
  <si>
    <t>EQU     RamStart+44</t>
  </si>
  <si>
    <t>EQU     RamStart+45</t>
  </si>
  <si>
    <t>EQU     RamStart+46</t>
  </si>
  <si>
    <t>EQU     RamStart+47</t>
  </si>
  <si>
    <t>EQU     RamStart+48</t>
  </si>
  <si>
    <t>EQU     RamStart+49</t>
  </si>
  <si>
    <t>EQU     RamStart+50</t>
  </si>
  <si>
    <t>EQU     RamStart+51</t>
  </si>
  <si>
    <t>EQU     RamStart+52</t>
  </si>
  <si>
    <t>EQU     RamStart+53</t>
  </si>
  <si>
    <t>EQU     RamStart+54</t>
  </si>
  <si>
    <t>EQU     RamStart+55</t>
  </si>
  <si>
    <t>EQU     RamStart+56</t>
  </si>
  <si>
    <t>EQU     RamStart+57</t>
  </si>
  <si>
    <t>EQU     RamStart+58</t>
  </si>
  <si>
    <t xml:space="preserve"> CBLOCK  EQU     RamStart</t>
  </si>
  <si>
    <t>EQU     RamStart EQU 0x0C</t>
  </si>
  <si>
    <t>EQU     EQU     RamStart</t>
  </si>
  <si>
    <t>EQU     EQU     RamStart+01</t>
  </si>
  <si>
    <t>EQU     EQU     RamStart+02</t>
  </si>
  <si>
    <t>EQU     RamStart+03</t>
  </si>
  <si>
    <t>EQU RAM_INT+1</t>
  </si>
  <si>
    <t>EQU RAM_INT</t>
  </si>
  <si>
    <t xml:space="preserve"> 2 ^24</t>
  </si>
  <si>
    <t>fclock</t>
  </si>
  <si>
    <t>1 boucle en</t>
  </si>
  <si>
    <t>quartz =</t>
  </si>
  <si>
    <t>="              dt    0x"&amp;GAUCHE(L37;2)&amp;", 0x"&amp;STXT(H37;4;2)&amp;", 0x"&amp;DROITE(L37;2) &amp; "     ;"&amp;CTXT(B37;1;1)&amp;"Hz"</t>
  </si>
  <si>
    <t>quartz (Mhz)</t>
  </si>
  <si>
    <t>Periode</t>
  </si>
  <si>
    <t>Nb instruc</t>
  </si>
  <si>
    <t>nb cycle transfert vers DAC</t>
  </si>
  <si>
    <t>µS durée d'un tour</t>
  </si>
  <si>
    <t xml:space="preserve"> F (hz)</t>
  </si>
  <si>
    <t>T (sec)</t>
  </si>
  <si>
    <t>Cpt=Cpt+1</t>
  </si>
  <si>
    <t>comptage maxi 2^ 24</t>
  </si>
  <si>
    <t>init compteur</t>
  </si>
  <si>
    <t>nb pas DAC</t>
  </si>
  <si>
    <t>MAXIMA</t>
  </si>
  <si>
    <t>MINIMA</t>
  </si>
  <si>
    <t>Nombre</t>
  </si>
  <si>
    <t>sinus</t>
  </si>
  <si>
    <t>voir zone1 feuille DDS</t>
  </si>
  <si>
    <t xml:space="preserve">    dt      0x,0x,0x,0x,0x,0x,0x,0x</t>
  </si>
  <si>
    <t>=ENT(128*SIN(4*PI()*B2/256))</t>
  </si>
  <si>
    <t>pas</t>
  </si>
  <si>
    <t>macro "make_DT_8values"</t>
  </si>
  <si>
    <t>last update 10 sept 2004</t>
  </si>
  <si>
    <t>00 00 04</t>
  </si>
  <si>
    <t>00 00 2B</t>
  </si>
  <si>
    <t>00 00 DA</t>
  </si>
  <si>
    <t>00 01 B4</t>
  </si>
  <si>
    <t>00 04 42</t>
  </si>
  <si>
    <t>00 08 85</t>
  </si>
  <si>
    <t>00 0C C7</t>
  </si>
  <si>
    <t>00 11 0A</t>
  </si>
  <si>
    <t>00 15 4C</t>
  </si>
  <si>
    <t>00 19 8F</t>
  </si>
  <si>
    <t>00 22 14</t>
  </si>
  <si>
    <t>00 2A 99</t>
  </si>
  <si>
    <t>00 33 1E</t>
  </si>
  <si>
    <t>00 3B A3</t>
  </si>
  <si>
    <t>00 44 28</t>
  </si>
  <si>
    <t>00 4C AD</t>
  </si>
  <si>
    <t>00 55 32</t>
  </si>
  <si>
    <t>00 5D B7</t>
  </si>
  <si>
    <t>00 66 3C</t>
  </si>
  <si>
    <t>00 6E C1</t>
  </si>
  <si>
    <t>00 77 46</t>
  </si>
  <si>
    <t>00 7F CB</t>
  </si>
  <si>
    <t>00 88 50</t>
  </si>
  <si>
    <t>00 90 D5</t>
  </si>
  <si>
    <t>00 99 5A</t>
  </si>
  <si>
    <t>00 A1 DF</t>
  </si>
  <si>
    <t>00 AA 64</t>
  </si>
  <si>
    <t>00 B2 E9</t>
  </si>
  <si>
    <t>00 BB 6E</t>
  </si>
  <si>
    <t>00 C3 F3</t>
  </si>
  <si>
    <t>00 CC 78</t>
  </si>
  <si>
    <t>00 D4 FD</t>
  </si>
  <si>
    <t>00 DD 82</t>
  </si>
  <si>
    <t>00 E6 08</t>
  </si>
  <si>
    <t>00 EE 8D</t>
  </si>
  <si>
    <t>00 FF 97</t>
  </si>
  <si>
    <t>199 scopmeter</t>
  </si>
  <si>
    <t>indice</t>
  </si>
  <si>
    <t>Fluke au Pt C</t>
  </si>
  <si>
    <t>SINDDS10.ASM</t>
  </si>
  <si>
    <t>Freqar_1</t>
  </si>
  <si>
    <t>frequencemetre</t>
  </si>
  <si>
    <t>0 à 3,8V sur R=750</t>
  </si>
  <si>
    <t>0 à 4,56V sans charge</t>
  </si>
  <si>
    <t>niveau</t>
  </si>
  <si>
    <t>1,56V eff</t>
  </si>
  <si>
    <t>2,6V cr à cr</t>
  </si>
  <si>
    <t>carré</t>
  </si>
  <si>
    <t>Generateur  DDS PIC16F84 sur 128 pas</t>
  </si>
  <si>
    <t xml:space="preserve">indication PIC </t>
  </si>
  <si>
    <t>mesure oscillo</t>
  </si>
  <si>
    <t>=SI(C3&gt;=0;(INDEX(zone1;ENT(C3/16)+1;2)&amp;INDEX(zone1;C3-ENT(C3/16)*16+1;2));INDEX(zone1;ENT((256+C3)/16)+1;2)&amp;INDEX(zone1;(256+C3)-ENT((256+C3)/16)*16+1;2))</t>
  </si>
  <si>
    <t>nb sinusoides</t>
  </si>
  <si>
    <t>="    dt      0x"&amp;D3&amp;",0x"&amp;D4&amp;",0x"&amp;D5&amp;",0x"&amp;D6&amp;",0x"&amp;D7&amp;",0x"&amp;D8&amp;",0x"&amp;D9&amp;",0x"&amp;D10</t>
  </si>
  <si>
    <t>Nb de sinusoides</t>
  </si>
  <si>
    <t>maxi F</t>
  </si>
  <si>
    <t>Nb de pas</t>
  </si>
  <si>
    <t>° angle</t>
  </si>
  <si>
    <t xml:space="preserve">    dt      0x80,0x7A,0x74,0x6E,0x68,0x62,0x5C,0x56</t>
  </si>
  <si>
    <t xml:space="preserve">    dt      0x50,0x4A,0x45,0x3F,0x3A,0x35,0x30,0x2B</t>
  </si>
  <si>
    <t xml:space="preserve">    dt      0x27,0x22,0x1E,0x1A,0x17,0x14,0x10,0x0E</t>
  </si>
  <si>
    <t xml:space="preserve">    dt      0x0B,0x09,0x07,0x05,0x04,0x03,0x02,0x02</t>
  </si>
  <si>
    <t xml:space="preserve">    dt      0x01,0x02,0x02,0x03,0x04,0x05,0x07,0x09</t>
  </si>
  <si>
    <t xml:space="preserve">    dt      0x0B,0x0E,0x10,0x14,0x17,0x1A,0x1E,0x22</t>
  </si>
  <si>
    <t xml:space="preserve">    dt      0x27,0x2B,0x30,0x35,0x3A,0x3F,0x45,0x4A</t>
  </si>
  <si>
    <t xml:space="preserve">    dt      0x50,0x56,0x5C,0x62,0x68,0x6E,0x74,0x7A</t>
  </si>
  <si>
    <t xml:space="preserve">    dt      0x80,0x87,0x8D,0x93,0x99,0x9F,0xA5,0xAB</t>
  </si>
  <si>
    <t xml:space="preserve">    dt      0xB1,0xB7,0xBC,0xC2,0xC7,0xCC,0xD1,0xD6</t>
  </si>
  <si>
    <t xml:space="preserve">    dt      0xDA,0xDF,0xE3,0xE7,0xEA,0xED,0xF1,0xF3</t>
  </si>
  <si>
    <t xml:space="preserve">    dt      0xF6,0xF8,0xFA,0xFC,0xFD,0xFE,0xFF,0xFF</t>
  </si>
  <si>
    <t xml:space="preserve">    dt      0xFF,0xFF,0xFF,0xFE,0xFD,0xFC,0xFA,0xF8</t>
  </si>
  <si>
    <t xml:space="preserve">    dt      0xF6,0xF3,0xF1,0xED,0xEA,0xE7,0xE3,0xDF</t>
  </si>
  <si>
    <t xml:space="preserve">    dt      0xDA,0xD6,0xD1,0xCC,0xC7,0xC2,0xBC,0xB7</t>
  </si>
  <si>
    <t xml:space="preserve">    dt      0xB1,0xAB,0xA5,0x9F,0x99,0x93,0x8D,0x87</t>
  </si>
  <si>
    <t xml:space="preserve">    dt      0x81,0x7A,0x74,0x6E,0x68,0x62,0x5C,0x56</t>
  </si>
  <si>
    <t xml:space="preserve">ascii </t>
  </si>
  <si>
    <t>Nb car</t>
  </si>
  <si>
    <t xml:space="preserve">valeur </t>
  </si>
  <si>
    <t>Majuscule</t>
  </si>
  <si>
    <t>forcage</t>
  </si>
  <si>
    <t/>
  </si>
  <si>
    <t>texte à convertir</t>
  </si>
  <si>
    <t>code</t>
  </si>
  <si>
    <t>pour simulator</t>
  </si>
  <si>
    <t xml:space="preserve"> </t>
  </si>
  <si>
    <t xml:space="preserve">dummy                 </t>
  </si>
  <si>
    <t>;temporary use</t>
  </si>
  <si>
    <t xml:space="preserve">dummy2 </t>
  </si>
  <si>
    <t xml:space="preserve">TOGGLE </t>
  </si>
  <si>
    <t xml:space="preserve">SYSTEM          </t>
  </si>
  <si>
    <t xml:space="preserve">COMND           </t>
  </si>
  <si>
    <t>w_temp</t>
  </si>
  <si>
    <t xml:space="preserve">status_temp </t>
  </si>
  <si>
    <t>Drapeau</t>
  </si>
  <si>
    <t>valx:2</t>
  </si>
  <si>
    <t>val1:2</t>
  </si>
  <si>
    <t xml:space="preserve">m_porta                 </t>
  </si>
  <si>
    <t>;mirror of port a</t>
  </si>
  <si>
    <t xml:space="preserve">m_portb             </t>
  </si>
  <si>
    <t xml:space="preserve">    ;mirror of port b</t>
  </si>
  <si>
    <t xml:space="preserve">       ;for 8bit rotates in/out</t>
  </si>
  <si>
    <t xml:space="preserve">count1                  </t>
  </si>
  <si>
    <t xml:space="preserve">count2                 </t>
  </si>
  <si>
    <t xml:space="preserve">count3               </t>
  </si>
  <si>
    <t xml:space="preserve">count4             </t>
  </si>
  <si>
    <t xml:space="preserve">count5                </t>
  </si>
  <si>
    <t xml:space="preserve">up_count              </t>
  </si>
  <si>
    <t xml:space="preserve">  ;count of 0.1 secs when UP switch closed</t>
  </si>
  <si>
    <t xml:space="preserve">down_count          </t>
  </si>
  <si>
    <t xml:space="preserve">Rdecal2              </t>
  </si>
  <si>
    <t xml:space="preserve">second            </t>
  </si>
  <si>
    <t xml:space="preserve">minute                </t>
  </si>
  <si>
    <t xml:space="preserve">hour                </t>
  </si>
  <si>
    <t xml:space="preserve">date                 </t>
  </si>
  <si>
    <t xml:space="preserve">month                  </t>
  </si>
  <si>
    <t xml:space="preserve">day                  </t>
  </si>
  <si>
    <t xml:space="preserve">year                   </t>
  </si>
  <si>
    <t xml:space="preserve">buff_4                </t>
  </si>
  <si>
    <t xml:space="preserve">  ; bcd 32 bits -to- 10 digits ascii </t>
  </si>
  <si>
    <t>0X0C</t>
  </si>
  <si>
    <t>bauds</t>
  </si>
  <si>
    <t>duree 1 bits</t>
  </si>
  <si>
    <t>8N1-&gt; moment de 10 bits</t>
  </si>
  <si>
    <t>RS232 speed</t>
  </si>
  <si>
    <t>count=</t>
  </si>
  <si>
    <t>cycle=</t>
  </si>
  <si>
    <t>6F84-20 0130G83</t>
  </si>
  <si>
    <t>WRITE  1, 54</t>
  </si>
  <si>
    <t>WRITE  2, 70</t>
  </si>
  <si>
    <t>WRITE  3, 56</t>
  </si>
  <si>
    <t>WRITE  4, 52</t>
  </si>
  <si>
    <t>-</t>
  </si>
  <si>
    <t>WRITE  5, 45</t>
  </si>
  <si>
    <t>WRITE  6, 50</t>
  </si>
  <si>
    <t>WRITE  7, 48</t>
  </si>
  <si>
    <t>WRITE  8, 32</t>
  </si>
  <si>
    <t>WRITE  9, 48</t>
  </si>
  <si>
    <t>WRITE  10, 49</t>
  </si>
  <si>
    <t>WRITE  11, 51</t>
  </si>
  <si>
    <t>WRITE  12, 48</t>
  </si>
  <si>
    <t>G</t>
  </si>
  <si>
    <t>WRITE  13, 71</t>
  </si>
  <si>
    <t>WRITE  14, 56</t>
  </si>
  <si>
    <t>WRITE  15, 51</t>
  </si>
  <si>
    <t>°C</t>
  </si>
  <si>
    <t>ref</t>
  </si>
  <si>
    <t>mesure</t>
  </si>
  <si>
    <t>zero absolu °K</t>
  </si>
  <si>
    <t>total cycle</t>
  </si>
  <si>
    <t>goto</t>
  </si>
  <si>
    <t>dec</t>
  </si>
  <si>
    <t>MOVWF _LOOP1</t>
  </si>
  <si>
    <t>MOVWF  _LOOP2</t>
  </si>
  <si>
    <t xml:space="preserve"> MOVLW</t>
  </si>
  <si>
    <t xml:space="preserve">MOVLW </t>
  </si>
  <si>
    <t>_DELAY_2:</t>
  </si>
  <si>
    <t>_DELAY_1:</t>
  </si>
  <si>
    <t xml:space="preserve"> RETURN</t>
  </si>
  <si>
    <t>goto _DELAY1</t>
  </si>
  <si>
    <t>goto _DELAY2</t>
  </si>
  <si>
    <t>goto $+1=2cycles=</t>
  </si>
  <si>
    <t>nb de goto</t>
  </si>
  <si>
    <t>delay =</t>
  </si>
  <si>
    <t>40Mhz</t>
  </si>
  <si>
    <t>bds</t>
  </si>
  <si>
    <t>g</t>
  </si>
  <si>
    <t>pas pour 1Hz</t>
  </si>
  <si>
    <t xml:space="preserve">nombre </t>
  </si>
  <si>
    <t>quartz 25Mhz</t>
  </si>
  <si>
    <t>=((nb_sinusoides*quartz__Mhz*1000000/4)/nb_cycles)/bin24_bits</t>
  </si>
  <si>
    <t>(boucle en 28 cycles)</t>
  </si>
  <si>
    <t>09/04/06 AD588</t>
  </si>
  <si>
    <t>DDS40628.asm</t>
  </si>
  <si>
    <t>16F628-20 vert at 40MHz</t>
  </si>
  <si>
    <t>RS 19200b</t>
  </si>
  <si>
    <t>00=00.00.17.=   1Hz</t>
  </si>
  <si>
    <t>01=00.00.75.=   5Hz</t>
  </si>
  <si>
    <t>02=00.02.4B.=  25Hz</t>
  </si>
  <si>
    <t>03=00.09.2C.= 100Hz</t>
  </si>
  <si>
    <t>04=00.16.F0.= 250Hz</t>
  </si>
  <si>
    <t>05=00.2D.E0.= 500Hz</t>
  </si>
  <si>
    <t>06=00.44.D0.= 750Hz</t>
  </si>
  <si>
    <t>07=00.5B.C0.=1000Hz</t>
  </si>
  <si>
    <t>08=00.6E.19.=1200Hz</t>
  </si>
  <si>
    <t>09=00.77.46.=1300Hz</t>
  </si>
  <si>
    <t>10=00.80.73.=1400Hz</t>
  </si>
  <si>
    <t>11=00.89.A0.=1500Hz</t>
  </si>
  <si>
    <t>12=00.B7.80.=2000Hz</t>
  </si>
  <si>
    <t>13=00.C0.AD.=2100Hz</t>
  </si>
  <si>
    <t>14=00.C9.D9.=2200Hz</t>
  </si>
  <si>
    <t>15=00.D3.06.=2300Hz</t>
  </si>
  <si>
    <t>16=00.E5.60.=2500Hz</t>
  </si>
  <si>
    <t>17=01.13.40.=3000Hz</t>
  </si>
  <si>
    <t>18=01.6F.00.=4000Hz</t>
  </si>
  <si>
    <t>19=01.CA.C0.=5000Hz</t>
  </si>
  <si>
    <t>20=02.26.80.=6000Hz</t>
  </si>
  <si>
    <t>21=02.82.40.=7000Hz</t>
  </si>
  <si>
    <t>22=02.DE.00.=8000Hz</t>
  </si>
  <si>
    <t>23=03.39.C0.=9000Hz</t>
  </si>
  <si>
    <t>24=03.95.81.=10.KHz</t>
  </si>
  <si>
    <t>25=03.F1.41.=11.KHz</t>
  </si>
  <si>
    <t>26=04.4D.01.=12.KHz</t>
  </si>
  <si>
    <t>27=04.A8.C1.=13.KHz</t>
  </si>
  <si>
    <t>28=05.04.81.=14.KHz</t>
  </si>
  <si>
    <t>29=05.60.41.=15.KHz</t>
  </si>
  <si>
    <t>30=05.BC.01.=16.KHz</t>
  </si>
  <si>
    <t>31=06.17.C1.=17.KHz</t>
  </si>
  <si>
    <t>32=06.73.81.=18.KHz</t>
  </si>
  <si>
    <t>33=06.CF.41.=19.KHz</t>
  </si>
  <si>
    <t>34=07.2B.02.=20.KHz</t>
  </si>
  <si>
    <t>35=1B.3D.07.=76.KHz</t>
  </si>
  <si>
    <t>Frequencemetre à PIC16F84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</si>
</sst>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#,##0\ _F"/>
    <numFmt numFmtId="174" formatCode="0.0%"/>
    <numFmt numFmtId="175" formatCode="0.000"/>
    <numFmt numFmtId="176" formatCode="0.00000"/>
    <numFmt numFmtId="177" formatCode="0.0"/>
    <numFmt numFmtId="178" formatCode="#,##0.0"/>
    <numFmt numFmtId="179" formatCode="#,##0.000"/>
    <numFmt numFmtId="180" formatCode="#,##0.0000"/>
    <numFmt numFmtId="181" formatCode="0.000000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General_)"/>
    <numFmt numFmtId="191" formatCode="0.00E+00_)"/>
    <numFmt numFmtId="192" formatCode="0.0_)"/>
    <numFmt numFmtId="193" formatCode="_-* #,##0.000_-;\-* #,##0.000_-;_-* &quot;-&quot;??_-;_-@_-"/>
    <numFmt numFmtId="194" formatCode="_-* #,##0.0_-;\-* #,##0.0_-;_-* &quot;-&quot;??_-;_-@_-"/>
    <numFmt numFmtId="195" formatCode="_-* #,##0_-;\-* #,##0_-;_-* &quot;-&quot;??_-;_-@_-"/>
    <numFmt numFmtId="196" formatCode="&quot;SFr.&quot;\ #,##0;&quot;SFr.&quot;\ \-#,##0"/>
    <numFmt numFmtId="197" formatCode="&quot;SFr.&quot;\ #,##0;[Red]&quot;SFr.&quot;\ \-#,##0"/>
    <numFmt numFmtId="198" formatCode="&quot;SFr.&quot;\ #,##0.00;&quot;SFr.&quot;\ \-#,##0.00"/>
    <numFmt numFmtId="199" formatCode="&quot;SFr.&quot;\ #,##0.00;[Red]&quot;SFr.&quot;\ \-#,##0.00"/>
    <numFmt numFmtId="200" formatCode="_ &quot;SFr.&quot;\ * #,##0_ ;_ &quot;SFr.&quot;\ * \-#,##0_ ;_ &quot;SFr.&quot;\ * &quot;-&quot;_ ;_ @_ "/>
    <numFmt numFmtId="201" formatCode="_ * #,##0_ ;_ * \-#,##0_ ;_ * &quot;-&quot;_ ;_ @_ "/>
    <numFmt numFmtId="202" formatCode="_ &quot;SFr.&quot;\ * #,##0.00_ ;_ &quot;SFr.&quot;\ * \-#,##0.00_ ;_ &quot;SFr.&quot;\ * &quot;-&quot;??_ ;_ @_ "/>
    <numFmt numFmtId="203" formatCode="_ * #,##0.00_ ;_ * \-#,##0.00_ ;_ * &quot;-&quot;??_ ;_ @_ "/>
    <numFmt numFmtId="204" formatCode="0.000E+00_)"/>
    <numFmt numFmtId="205" formatCode="#,##0_);\(#,##0\)"/>
    <numFmt numFmtId="206" formatCode="0.0000000"/>
    <numFmt numFmtId="207" formatCode="000,000"/>
    <numFmt numFmtId="208" formatCode="00_00_00"/>
    <numFmt numFmtId="209" formatCode="00\^00\^\l00"/>
    <numFmt numFmtId="210" formatCode="0##&quot;/&quot;000&quot; &quot;00&quot; &quot;00"/>
    <numFmt numFmtId="211" formatCode="#,##0\ _€"/>
    <numFmt numFmtId="212" formatCode="0.00000000"/>
    <numFmt numFmtId="213" formatCode="0.00;\us"/>
    <numFmt numFmtId="214" formatCode="0.00;&quot;uS&quot;"/>
    <numFmt numFmtId="215" formatCode="0.00&quot;uS&quot;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2"/>
      <color indexed="18"/>
      <name val="Arial"/>
      <family val="2"/>
    </font>
    <font>
      <sz val="10"/>
      <name val="Courier"/>
      <family val="0"/>
    </font>
    <font>
      <sz val="10"/>
      <color indexed="10"/>
      <name val="Courier"/>
      <family val="0"/>
    </font>
    <font>
      <b/>
      <sz val="10"/>
      <name val="Courier"/>
      <family val="3"/>
    </font>
    <font>
      <b/>
      <sz val="10"/>
      <color indexed="20"/>
      <name val="Courier"/>
      <family val="3"/>
    </font>
    <font>
      <b/>
      <i/>
      <sz val="11"/>
      <name val="Arial"/>
      <family val="2"/>
    </font>
    <font>
      <sz val="10"/>
      <color indexed="10"/>
      <name val="Arial"/>
      <family val="2"/>
    </font>
    <font>
      <b/>
      <sz val="10.25"/>
      <name val="Arial"/>
      <family val="2"/>
    </font>
    <font>
      <sz val="10.25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49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i/>
      <sz val="10"/>
      <color indexed="4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9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0" fontId="6" fillId="0" borderId="0">
      <alignment/>
      <protection/>
    </xf>
    <xf numFmtId="190" fontId="6" fillId="0" borderId="0">
      <alignment/>
      <protection/>
    </xf>
    <xf numFmtId="9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17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5" xfId="0" applyBorder="1" applyAlignment="1">
      <alignment/>
    </xf>
    <xf numFmtId="0" fontId="0" fillId="0" borderId="55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Alignment="1">
      <alignment/>
    </xf>
    <xf numFmtId="0" fontId="1" fillId="4" borderId="0" xfId="0" applyFont="1" applyFill="1" applyAlignment="1">
      <alignment horizontal="center"/>
    </xf>
    <xf numFmtId="0" fontId="0" fillId="4" borderId="0" xfId="0" applyFill="1" applyAlignment="1" quotePrefix="1">
      <alignment horizontal="center"/>
    </xf>
    <xf numFmtId="0" fontId="0" fillId="4" borderId="0" xfId="0" applyFill="1" applyAlignment="1">
      <alignment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0" borderId="17" xfId="0" applyBorder="1" applyAlignment="1">
      <alignment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4" fillId="3" borderId="22" xfId="0" applyFont="1" applyFill="1" applyBorder="1" applyAlignment="1">
      <alignment horizontal="center"/>
    </xf>
    <xf numFmtId="0" fontId="5" fillId="0" borderId="22" xfId="0" applyFont="1" applyFill="1" applyBorder="1" applyAlignment="1" quotePrefix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vertical="center" wrapText="1"/>
    </xf>
    <xf numFmtId="2" fontId="1" fillId="0" borderId="0" xfId="0" applyNumberFormat="1" applyFont="1" applyAlignment="1">
      <alignment/>
    </xf>
    <xf numFmtId="190" fontId="6" fillId="0" borderId="0" xfId="40" applyNumberFormat="1" applyBorder="1" applyAlignment="1" applyProtection="1">
      <alignment horizontal="center"/>
      <protection/>
    </xf>
    <xf numFmtId="190" fontId="6" fillId="0" borderId="60" xfId="40" applyNumberFormat="1" applyBorder="1" applyAlignment="1" applyProtection="1" quotePrefix="1">
      <alignment horizontal="center"/>
      <protection/>
    </xf>
    <xf numFmtId="190" fontId="6" fillId="0" borderId="0" xfId="40" applyNumberFormat="1" applyBorder="1" applyAlignment="1" applyProtection="1" quotePrefix="1">
      <alignment horizontal="center"/>
      <protection/>
    </xf>
    <xf numFmtId="190" fontId="6" fillId="0" borderId="0" xfId="40">
      <alignment/>
      <protection/>
    </xf>
    <xf numFmtId="190" fontId="6" fillId="0" borderId="62" xfId="40" applyNumberFormat="1" applyBorder="1" applyAlignment="1" applyProtection="1" quotePrefix="1">
      <alignment horizontal="center"/>
      <protection/>
    </xf>
    <xf numFmtId="190" fontId="6" fillId="0" borderId="0" xfId="40" applyBorder="1">
      <alignment/>
      <protection/>
    </xf>
    <xf numFmtId="190" fontId="7" fillId="0" borderId="63" xfId="40" applyNumberFormat="1" applyFont="1" applyBorder="1" applyAlignment="1" applyProtection="1">
      <alignment horizontal="center"/>
      <protection/>
    </xf>
    <xf numFmtId="190" fontId="7" fillId="0" borderId="0" xfId="40" applyNumberFormat="1" applyFont="1" applyBorder="1" applyAlignment="1" applyProtection="1">
      <alignment horizontal="center"/>
      <protection/>
    </xf>
    <xf numFmtId="190" fontId="7" fillId="0" borderId="63" xfId="40" applyFont="1" applyBorder="1" applyAlignment="1">
      <alignment horizontal="center"/>
      <protection/>
    </xf>
    <xf numFmtId="190" fontId="6" fillId="0" borderId="63" xfId="40" applyNumberFormat="1" applyBorder="1" applyAlignment="1" applyProtection="1">
      <alignment horizontal="center"/>
      <protection/>
    </xf>
    <xf numFmtId="191" fontId="6" fillId="0" borderId="0" xfId="40" applyNumberFormat="1" applyBorder="1" applyAlignment="1" applyProtection="1">
      <alignment horizontal="center"/>
      <protection/>
    </xf>
    <xf numFmtId="190" fontId="6" fillId="0" borderId="60" xfId="40" applyBorder="1" applyAlignment="1" quotePrefix="1">
      <alignment horizontal="center"/>
      <protection/>
    </xf>
    <xf numFmtId="190" fontId="6" fillId="0" borderId="62" xfId="40" applyBorder="1" applyAlignment="1">
      <alignment horizontal="center"/>
      <protection/>
    </xf>
    <xf numFmtId="190" fontId="6" fillId="0" borderId="62" xfId="40" applyNumberFormat="1" applyBorder="1" applyAlignment="1" applyProtection="1">
      <alignment horizontal="center"/>
      <protection/>
    </xf>
    <xf numFmtId="190" fontId="6" fillId="0" borderId="61" xfId="40" applyNumberFormat="1" applyBorder="1" applyAlignment="1" applyProtection="1">
      <alignment horizontal="center"/>
      <protection/>
    </xf>
    <xf numFmtId="190" fontId="6" fillId="0" borderId="61" xfId="40" applyBorder="1" applyAlignment="1">
      <alignment horizontal="center"/>
      <protection/>
    </xf>
    <xf numFmtId="192" fontId="6" fillId="0" borderId="61" xfId="40" applyNumberFormat="1" applyBorder="1" applyAlignment="1" applyProtection="1">
      <alignment horizontal="center"/>
      <protection/>
    </xf>
    <xf numFmtId="2" fontId="6" fillId="0" borderId="61" xfId="40" applyNumberFormat="1" applyBorder="1" applyAlignment="1">
      <alignment horizontal="center"/>
      <protection/>
    </xf>
    <xf numFmtId="190" fontId="6" fillId="0" borderId="21" xfId="40" applyBorder="1">
      <alignment/>
      <protection/>
    </xf>
    <xf numFmtId="190" fontId="6" fillId="3" borderId="22" xfId="40" applyFill="1" applyBorder="1">
      <alignment/>
      <protection/>
    </xf>
    <xf numFmtId="190" fontId="6" fillId="0" borderId="23" xfId="40" applyBorder="1">
      <alignment/>
      <protection/>
    </xf>
    <xf numFmtId="190" fontId="6" fillId="4" borderId="22" xfId="40" applyFill="1" applyBorder="1">
      <alignment/>
      <protection/>
    </xf>
    <xf numFmtId="190" fontId="6" fillId="0" borderId="21" xfId="40" applyBorder="1" applyAlignment="1">
      <alignment horizontal="center"/>
      <protection/>
    </xf>
    <xf numFmtId="190" fontId="8" fillId="5" borderId="21" xfId="40" applyFont="1" applyFill="1" applyBorder="1" applyAlignment="1">
      <alignment horizontal="center"/>
      <protection/>
    </xf>
    <xf numFmtId="190" fontId="8" fillId="5" borderId="22" xfId="40" applyFont="1" applyFill="1" applyBorder="1">
      <alignment/>
      <protection/>
    </xf>
    <xf numFmtId="190" fontId="8" fillId="5" borderId="22" xfId="40" applyFont="1" applyFill="1" applyBorder="1" applyAlignment="1">
      <alignment horizontal="center"/>
      <protection/>
    </xf>
    <xf numFmtId="190" fontId="6" fillId="5" borderId="23" xfId="40" applyFill="1" applyBorder="1">
      <alignment/>
      <protection/>
    </xf>
    <xf numFmtId="190" fontId="6" fillId="0" borderId="28" xfId="40" applyBorder="1">
      <alignment/>
      <protection/>
    </xf>
    <xf numFmtId="190" fontId="6" fillId="0" borderId="30" xfId="40" applyBorder="1">
      <alignment/>
      <protection/>
    </xf>
    <xf numFmtId="190" fontId="6" fillId="0" borderId="38" xfId="40" applyBorder="1">
      <alignment/>
      <protection/>
    </xf>
    <xf numFmtId="190" fontId="6" fillId="0" borderId="51" xfId="40" applyBorder="1">
      <alignment/>
      <protection/>
    </xf>
    <xf numFmtId="190" fontId="6" fillId="0" borderId="64" xfId="40" applyBorder="1">
      <alignment/>
      <protection/>
    </xf>
    <xf numFmtId="190" fontId="6" fillId="0" borderId="20" xfId="40" applyBorder="1">
      <alignment/>
      <protection/>
    </xf>
    <xf numFmtId="190" fontId="6" fillId="0" borderId="8" xfId="40" applyBorder="1">
      <alignment/>
      <protection/>
    </xf>
    <xf numFmtId="190" fontId="6" fillId="0" borderId="31" xfId="40" applyBorder="1">
      <alignment/>
      <protection/>
    </xf>
    <xf numFmtId="190" fontId="6" fillId="0" borderId="4" xfId="40" applyBorder="1">
      <alignment/>
      <protection/>
    </xf>
    <xf numFmtId="190" fontId="6" fillId="6" borderId="21" xfId="40" applyFill="1" applyBorder="1" applyAlignment="1">
      <alignment horizontal="left"/>
      <protection/>
    </xf>
    <xf numFmtId="190" fontId="6" fillId="6" borderId="23" xfId="40" applyFill="1" applyBorder="1" applyAlignment="1">
      <alignment horizontal="left"/>
      <protection/>
    </xf>
    <xf numFmtId="190" fontId="6" fillId="3" borderId="21" xfId="40" applyFill="1" applyBorder="1" applyAlignment="1">
      <alignment horizontal="left"/>
      <protection/>
    </xf>
    <xf numFmtId="190" fontId="6" fillId="3" borderId="23" xfId="40" applyFill="1" applyBorder="1" applyAlignment="1">
      <alignment horizontal="left"/>
      <protection/>
    </xf>
    <xf numFmtId="190" fontId="6" fillId="4" borderId="21" xfId="40" applyFill="1" applyBorder="1" applyAlignment="1">
      <alignment horizontal="left"/>
      <protection/>
    </xf>
    <xf numFmtId="190" fontId="6" fillId="4" borderId="23" xfId="40" applyFill="1" applyBorder="1" applyAlignment="1">
      <alignment horizontal="left"/>
      <protection/>
    </xf>
    <xf numFmtId="190" fontId="8" fillId="0" borderId="65" xfId="40" applyFont="1" applyBorder="1" applyAlignment="1">
      <alignment horizontal="center"/>
      <protection/>
    </xf>
    <xf numFmtId="190" fontId="6" fillId="0" borderId="66" xfId="40" applyBorder="1">
      <alignment/>
      <protection/>
    </xf>
    <xf numFmtId="190" fontId="9" fillId="0" borderId="16" xfId="40" applyFont="1" applyBorder="1">
      <alignment/>
      <protection/>
    </xf>
    <xf numFmtId="190" fontId="9" fillId="0" borderId="38" xfId="40" applyFont="1" applyBorder="1">
      <alignment/>
      <protection/>
    </xf>
    <xf numFmtId="190" fontId="6" fillId="0" borderId="0" xfId="40" applyBorder="1" applyAlignment="1">
      <alignment horizontal="center"/>
      <protection/>
    </xf>
    <xf numFmtId="190" fontId="6" fillId="6" borderId="0" xfId="40" applyFill="1" applyBorder="1">
      <alignment/>
      <protection/>
    </xf>
    <xf numFmtId="190" fontId="6" fillId="3" borderId="0" xfId="40" applyFill="1" applyBorder="1">
      <alignment/>
      <protection/>
    </xf>
    <xf numFmtId="190" fontId="6" fillId="4" borderId="0" xfId="40" applyFill="1" applyBorder="1">
      <alignment/>
      <protection/>
    </xf>
    <xf numFmtId="190" fontId="6" fillId="0" borderId="0" xfId="40" applyBorder="1" applyAlignment="1">
      <alignment horizontal="left"/>
      <protection/>
    </xf>
    <xf numFmtId="190" fontId="8" fillId="0" borderId="30" xfId="40" applyFont="1" applyBorder="1" applyAlignment="1" quotePrefix="1">
      <alignment/>
      <protection/>
    </xf>
    <xf numFmtId="189" fontId="8" fillId="0" borderId="21" xfId="25" applyNumberFormat="1" applyFont="1" applyBorder="1" applyAlignment="1">
      <alignment horizontal="right"/>
    </xf>
    <xf numFmtId="190" fontId="8" fillId="0" borderId="23" xfId="40" applyFont="1" applyBorder="1">
      <alignment/>
      <protection/>
    </xf>
    <xf numFmtId="194" fontId="8" fillId="0" borderId="21" xfId="25" applyNumberFormat="1" applyFont="1" applyBorder="1" applyAlignment="1">
      <alignment horizontal="right"/>
    </xf>
    <xf numFmtId="190" fontId="6" fillId="0" borderId="16" xfId="40" applyBorder="1">
      <alignment/>
      <protection/>
    </xf>
    <xf numFmtId="190" fontId="6" fillId="0" borderId="17" xfId="40" applyBorder="1">
      <alignment/>
      <protection/>
    </xf>
    <xf numFmtId="49" fontId="0" fillId="0" borderId="0" xfId="0" applyNumberFormat="1" applyAlignment="1">
      <alignment horizontal="center"/>
    </xf>
    <xf numFmtId="0" fontId="0" fillId="7" borderId="0" xfId="0" applyFill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/>
    </xf>
    <xf numFmtId="175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75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90" fontId="6" fillId="0" borderId="0" xfId="39" applyNumberFormat="1" applyAlignment="1" applyProtection="1">
      <alignment horizontal="center"/>
      <protection/>
    </xf>
    <xf numFmtId="190" fontId="6" fillId="0" borderId="0" xfId="39">
      <alignment/>
      <protection/>
    </xf>
    <xf numFmtId="190" fontId="7" fillId="0" borderId="63" xfId="39" applyNumberFormat="1" applyFont="1" applyBorder="1" applyAlignment="1" applyProtection="1">
      <alignment horizontal="center"/>
      <protection/>
    </xf>
    <xf numFmtId="190" fontId="14" fillId="0" borderId="0" xfId="40" applyFont="1">
      <alignment/>
      <protection/>
    </xf>
    <xf numFmtId="0" fontId="1" fillId="3" borderId="63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16" xfId="0" applyBorder="1" applyAlignment="1">
      <alignment/>
    </xf>
    <xf numFmtId="0" fontId="1" fillId="0" borderId="30" xfId="0" applyFont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172" fontId="1" fillId="0" borderId="30" xfId="0" applyNumberFormat="1" applyFont="1" applyBorder="1" applyAlignment="1">
      <alignment horizontal="center"/>
    </xf>
    <xf numFmtId="4" fontId="1" fillId="4" borderId="21" xfId="0" applyNumberFormat="1" applyFont="1" applyFill="1" applyBorder="1" applyAlignment="1">
      <alignment horizontal="center"/>
    </xf>
    <xf numFmtId="0" fontId="1" fillId="0" borderId="67" xfId="0" applyFont="1" applyBorder="1" applyAlignment="1">
      <alignment/>
    </xf>
    <xf numFmtId="0" fontId="1" fillId="0" borderId="68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6" xfId="0" applyBorder="1" applyAlignment="1">
      <alignment horizontal="center"/>
    </xf>
    <xf numFmtId="0" fontId="15" fillId="7" borderId="52" xfId="0" applyFont="1" applyFill="1" applyBorder="1" applyAlignment="1">
      <alignment horizontal="center"/>
    </xf>
    <xf numFmtId="0" fontId="15" fillId="7" borderId="46" xfId="0" applyFont="1" applyFill="1" applyBorder="1" applyAlignment="1" quotePrefix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4" borderId="46" xfId="0" applyNumberFormat="1" applyFill="1" applyBorder="1" applyAlignment="1">
      <alignment horizontal="right"/>
    </xf>
    <xf numFmtId="1" fontId="0" fillId="4" borderId="46" xfId="0" applyNumberFormat="1" applyFill="1" applyBorder="1" applyAlignment="1">
      <alignment horizontal="center"/>
    </xf>
    <xf numFmtId="0" fontId="15" fillId="7" borderId="46" xfId="0" applyFont="1" applyFill="1" applyBorder="1" applyAlignment="1">
      <alignment horizontal="center"/>
    </xf>
    <xf numFmtId="0" fontId="15" fillId="0" borderId="0" xfId="0" applyFont="1" applyAlignment="1" quotePrefix="1">
      <alignment/>
    </xf>
    <xf numFmtId="0" fontId="1" fillId="3" borderId="5" xfId="0" applyFont="1" applyFill="1" applyBorder="1" applyAlignment="1" applyProtection="1">
      <alignment horizontal="left"/>
      <protection locked="0"/>
    </xf>
    <xf numFmtId="0" fontId="1" fillId="3" borderId="45" xfId="0" applyFont="1" applyFill="1" applyBorder="1" applyAlignment="1" applyProtection="1">
      <alignment horizontal="left"/>
      <protection locked="0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0" borderId="63" xfId="0" applyBorder="1" applyAlignment="1">
      <alignment horizontal="center"/>
    </xf>
    <xf numFmtId="208" fontId="0" fillId="6" borderId="0" xfId="0" applyNumberFormat="1" applyFill="1" applyAlignment="1">
      <alignment/>
    </xf>
    <xf numFmtId="0" fontId="15" fillId="0" borderId="0" xfId="0" applyFont="1" applyFill="1" applyBorder="1" applyAlignment="1">
      <alignment horizontal="center"/>
    </xf>
    <xf numFmtId="0" fontId="0" fillId="4" borderId="7" xfId="0" applyNumberFormat="1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208" fontId="1" fillId="6" borderId="69" xfId="0" applyNumberFormat="1" applyFont="1" applyFill="1" applyBorder="1" applyAlignment="1">
      <alignment horizontal="center"/>
    </xf>
    <xf numFmtId="208" fontId="1" fillId="6" borderId="70" xfId="0" applyNumberFormat="1" applyFont="1" applyFill="1" applyBorder="1" applyAlignment="1">
      <alignment horizontal="center"/>
    </xf>
    <xf numFmtId="208" fontId="1" fillId="6" borderId="71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1" fillId="4" borderId="0" xfId="0" applyFont="1" applyFill="1" applyAlignment="1">
      <alignment horizontal="left"/>
    </xf>
    <xf numFmtId="0" fontId="0" fillId="0" borderId="23" xfId="0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16" fillId="0" borderId="0" xfId="0" applyFont="1" applyAlignment="1">
      <alignment/>
    </xf>
    <xf numFmtId="208" fontId="17" fillId="6" borderId="0" xfId="0" applyNumberFormat="1" applyFont="1" applyFill="1" applyAlignment="1">
      <alignment/>
    </xf>
    <xf numFmtId="0" fontId="18" fillId="4" borderId="0" xfId="0" applyFont="1" applyFill="1" applyAlignment="1">
      <alignment horizontal="left"/>
    </xf>
    <xf numFmtId="0" fontId="1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/>
    </xf>
    <xf numFmtId="0" fontId="18" fillId="3" borderId="45" xfId="0" applyFont="1" applyFill="1" applyBorder="1" applyAlignment="1" applyProtection="1">
      <alignment horizontal="left"/>
      <protection locked="0"/>
    </xf>
    <xf numFmtId="1" fontId="17" fillId="4" borderId="46" xfId="0" applyNumberFormat="1" applyFont="1" applyFill="1" applyBorder="1" applyAlignment="1">
      <alignment horizontal="center"/>
    </xf>
    <xf numFmtId="0" fontId="17" fillId="4" borderId="47" xfId="0" applyFont="1" applyFill="1" applyBorder="1" applyAlignment="1">
      <alignment horizontal="center"/>
    </xf>
    <xf numFmtId="208" fontId="18" fillId="6" borderId="7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08" fontId="0" fillId="6" borderId="0" xfId="0" applyNumberFormat="1" applyFont="1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/>
    </xf>
    <xf numFmtId="0" fontId="0" fillId="4" borderId="21" xfId="0" applyFill="1" applyBorder="1" applyAlignment="1">
      <alignment horizontal="center"/>
    </xf>
    <xf numFmtId="1" fontId="0" fillId="0" borderId="38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08" fontId="1" fillId="6" borderId="72" xfId="0" applyNumberFormat="1" applyFont="1" applyFill="1" applyBorder="1" applyAlignment="1">
      <alignment horizontal="center"/>
    </xf>
    <xf numFmtId="1" fontId="0" fillId="6" borderId="67" xfId="0" applyNumberFormat="1" applyFill="1" applyBorder="1" applyAlignment="1">
      <alignment horizontal="center"/>
    </xf>
    <xf numFmtId="0" fontId="0" fillId="4" borderId="1" xfId="0" applyFill="1" applyBorder="1" applyAlignment="1">
      <alignment/>
    </xf>
    <xf numFmtId="0" fontId="1" fillId="4" borderId="73" xfId="0" applyFont="1" applyFill="1" applyBorder="1" applyAlignment="1">
      <alignment/>
    </xf>
    <xf numFmtId="1" fontId="0" fillId="4" borderId="73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08" fontId="1" fillId="4" borderId="61" xfId="0" applyNumberFormat="1" applyFont="1" applyFill="1" applyBorder="1" applyAlignment="1">
      <alignment horizontal="center"/>
    </xf>
    <xf numFmtId="0" fontId="1" fillId="3" borderId="67" xfId="0" applyFont="1" applyFill="1" applyBorder="1" applyAlignment="1" applyProtection="1">
      <alignment horizontal="center"/>
      <protection locked="0"/>
    </xf>
    <xf numFmtId="1" fontId="0" fillId="4" borderId="68" xfId="0" applyNumberFormat="1" applyFont="1" applyFill="1" applyBorder="1" applyAlignment="1">
      <alignment horizontal="right"/>
    </xf>
    <xf numFmtId="1" fontId="0" fillId="4" borderId="68" xfId="0" applyNumberFormat="1" applyFont="1" applyFill="1" applyBorder="1" applyAlignment="1">
      <alignment horizontal="center"/>
    </xf>
    <xf numFmtId="0" fontId="0" fillId="4" borderId="74" xfId="0" applyFont="1" applyFill="1" applyBorder="1" applyAlignment="1">
      <alignment horizontal="center"/>
    </xf>
    <xf numFmtId="208" fontId="1" fillId="6" borderId="63" xfId="0" applyNumberFormat="1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5" fontId="0" fillId="0" borderId="0" xfId="0" applyNumberFormat="1" applyFill="1" applyBorder="1" applyAlignment="1">
      <alignment horizontal="center"/>
    </xf>
    <xf numFmtId="172" fontId="1" fillId="4" borderId="21" xfId="0" applyNumberFormat="1" applyFont="1" applyFill="1" applyBorder="1" applyAlignment="1">
      <alignment horizontal="center"/>
    </xf>
    <xf numFmtId="0" fontId="0" fillId="4" borderId="17" xfId="0" applyFill="1" applyBorder="1" applyAlignment="1">
      <alignment/>
    </xf>
    <xf numFmtId="0" fontId="0" fillId="0" borderId="28" xfId="0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7" xfId="0" applyFont="1" applyBorder="1" applyAlignment="1">
      <alignment/>
    </xf>
    <xf numFmtId="172" fontId="1" fillId="4" borderId="16" xfId="0" applyNumberFormat="1" applyFont="1" applyFill="1" applyBorder="1" applyAlignment="1">
      <alignment horizontal="center"/>
    </xf>
    <xf numFmtId="2" fontId="1" fillId="4" borderId="30" xfId="0" applyNumberFormat="1" applyFont="1" applyFill="1" applyBorder="1" applyAlignment="1">
      <alignment horizontal="center"/>
    </xf>
    <xf numFmtId="0" fontId="0" fillId="4" borderId="51" xfId="0" applyFill="1" applyBorder="1" applyAlignment="1">
      <alignment/>
    </xf>
    <xf numFmtId="2" fontId="1" fillId="4" borderId="23" xfId="0" applyNumberFormat="1" applyFont="1" applyFill="1" applyBorder="1" applyAlignment="1">
      <alignment horizontal="center"/>
    </xf>
    <xf numFmtId="0" fontId="15" fillId="7" borderId="50" xfId="0" applyFont="1" applyFill="1" applyBorder="1" applyAlignment="1" quotePrefix="1">
      <alignment horizontal="center"/>
    </xf>
    <xf numFmtId="0" fontId="15" fillId="7" borderId="50" xfId="0" applyFont="1" applyFill="1" applyBorder="1" applyAlignment="1">
      <alignment horizontal="center"/>
    </xf>
    <xf numFmtId="0" fontId="15" fillId="7" borderId="59" xfId="0" applyFont="1" applyFill="1" applyBorder="1" applyAlignment="1">
      <alignment horizontal="center"/>
    </xf>
    <xf numFmtId="0" fontId="0" fillId="4" borderId="69" xfId="0" applyNumberFormat="1" applyFill="1" applyBorder="1" applyAlignment="1">
      <alignment horizontal="center"/>
    </xf>
    <xf numFmtId="0" fontId="0" fillId="4" borderId="70" xfId="0" applyNumberFormat="1" applyFill="1" applyBorder="1" applyAlignment="1">
      <alignment horizontal="center"/>
    </xf>
    <xf numFmtId="0" fontId="0" fillId="4" borderId="61" xfId="0" applyNumberFormat="1" applyFill="1" applyBorder="1" applyAlignment="1">
      <alignment horizontal="center"/>
    </xf>
    <xf numFmtId="0" fontId="21" fillId="0" borderId="0" xfId="0" applyFont="1" applyAlignment="1" quotePrefix="1">
      <alignment/>
    </xf>
    <xf numFmtId="0" fontId="15" fillId="7" borderId="75" xfId="0" applyFont="1" applyFill="1" applyBorder="1" applyAlignment="1">
      <alignment horizontal="center"/>
    </xf>
    <xf numFmtId="0" fontId="22" fillId="0" borderId="0" xfId="0" applyFont="1" applyAlignment="1">
      <alignment/>
    </xf>
    <xf numFmtId="206" fontId="0" fillId="0" borderId="0" xfId="0" applyNumberFormat="1" applyAlignment="1">
      <alignment/>
    </xf>
    <xf numFmtId="11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1" fillId="3" borderId="63" xfId="0" applyFont="1" applyFill="1" applyBorder="1" applyAlignment="1" applyProtection="1">
      <alignment horizontal="center"/>
      <protection locked="0"/>
    </xf>
    <xf numFmtId="0" fontId="1" fillId="3" borderId="61" xfId="0" applyFont="1" applyFill="1" applyBorder="1" applyAlignment="1" applyProtection="1">
      <alignment horizontal="center"/>
      <protection locked="0"/>
    </xf>
    <xf numFmtId="0" fontId="1" fillId="3" borderId="21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left"/>
      <protection locked="0"/>
    </xf>
    <xf numFmtId="0" fontId="1" fillId="3" borderId="52" xfId="0" applyFont="1" applyFill="1" applyBorder="1" applyAlignment="1" applyProtection="1">
      <alignment horizontal="left"/>
      <protection locked="0"/>
    </xf>
    <xf numFmtId="0" fontId="1" fillId="0" borderId="60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1" xfId="0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1" fillId="3" borderId="26" xfId="0" applyFont="1" applyFill="1" applyBorder="1" applyAlignment="1" applyProtection="1">
      <alignment horizontal="left"/>
      <protection locked="0"/>
    </xf>
    <xf numFmtId="208" fontId="1" fillId="6" borderId="76" xfId="0" applyNumberFormat="1" applyFont="1" applyFill="1" applyBorder="1" applyAlignment="1">
      <alignment horizontal="center"/>
    </xf>
    <xf numFmtId="0" fontId="1" fillId="3" borderId="65" xfId="0" applyFont="1" applyFill="1" applyBorder="1" applyAlignment="1" applyProtection="1">
      <alignment horizontal="left"/>
      <protection locked="0"/>
    </xf>
    <xf numFmtId="1" fontId="0" fillId="4" borderId="47" xfId="0" applyNumberFormat="1" applyFill="1" applyBorder="1" applyAlignment="1">
      <alignment horizontal="right"/>
    </xf>
    <xf numFmtId="1" fontId="0" fillId="4" borderId="15" xfId="0" applyNumberFormat="1" applyFill="1" applyBorder="1" applyAlignment="1">
      <alignment horizontal="right"/>
    </xf>
    <xf numFmtId="1" fontId="0" fillId="4" borderId="74" xfId="0" applyNumberFormat="1" applyFill="1" applyBorder="1" applyAlignment="1">
      <alignment horizontal="right"/>
    </xf>
    <xf numFmtId="0" fontId="23" fillId="0" borderId="0" xfId="0" applyFont="1" applyAlignment="1">
      <alignment/>
    </xf>
    <xf numFmtId="0" fontId="0" fillId="0" borderId="63" xfId="0" applyFill="1" applyBorder="1" applyAlignment="1">
      <alignment horizontal="center"/>
    </xf>
    <xf numFmtId="0" fontId="0" fillId="0" borderId="60" xfId="0" applyBorder="1" applyAlignment="1">
      <alignment/>
    </xf>
    <xf numFmtId="0" fontId="0" fillId="0" borderId="62" xfId="0" applyBorder="1" applyAlignment="1">
      <alignment/>
    </xf>
    <xf numFmtId="2" fontId="1" fillId="0" borderId="48" xfId="0" applyNumberFormat="1" applyFont="1" applyBorder="1" applyAlignment="1">
      <alignment/>
    </xf>
    <xf numFmtId="175" fontId="1" fillId="0" borderId="48" xfId="0" applyNumberFormat="1" applyFont="1" applyBorder="1" applyAlignment="1">
      <alignment/>
    </xf>
    <xf numFmtId="0" fontId="1" fillId="0" borderId="77" xfId="0" applyFont="1" applyBorder="1" applyAlignment="1">
      <alignment/>
    </xf>
    <xf numFmtId="0" fontId="14" fillId="0" borderId="0" xfId="0" applyFont="1" applyAlignment="1">
      <alignment/>
    </xf>
    <xf numFmtId="175" fontId="1" fillId="0" borderId="8" xfId="0" applyNumberFormat="1" applyFont="1" applyBorder="1" applyAlignment="1">
      <alignment/>
    </xf>
    <xf numFmtId="0" fontId="1" fillId="0" borderId="61" xfId="0" applyFont="1" applyBorder="1" applyAlignment="1">
      <alignment/>
    </xf>
    <xf numFmtId="0" fontId="0" fillId="0" borderId="62" xfId="0" applyBorder="1" applyAlignment="1">
      <alignment horizontal="center"/>
    </xf>
    <xf numFmtId="0" fontId="0" fillId="0" borderId="69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177" fontId="0" fillId="0" borderId="71" xfId="0" applyNumberFormat="1" applyBorder="1" applyAlignment="1">
      <alignment/>
    </xf>
    <xf numFmtId="2" fontId="0" fillId="0" borderId="71" xfId="0" applyNumberFormat="1" applyBorder="1" applyAlignment="1">
      <alignment/>
    </xf>
    <xf numFmtId="1" fontId="0" fillId="0" borderId="71" xfId="0" applyNumberFormat="1" applyBorder="1" applyAlignment="1">
      <alignment/>
    </xf>
    <xf numFmtId="0" fontId="1" fillId="3" borderId="21" xfId="0" applyFont="1" applyFill="1" applyBorder="1" applyAlignment="1">
      <alignment/>
    </xf>
    <xf numFmtId="1" fontId="0" fillId="6" borderId="74" xfId="0" applyNumberFormat="1" applyFill="1" applyBorder="1" applyAlignment="1">
      <alignment horizontal="center"/>
    </xf>
    <xf numFmtId="211" fontId="0" fillId="4" borderId="22" xfId="0" applyNumberFormat="1" applyFill="1" applyBorder="1" applyAlignment="1">
      <alignment/>
    </xf>
    <xf numFmtId="0" fontId="0" fillId="4" borderId="22" xfId="0" applyFill="1" applyBorder="1" applyAlignment="1">
      <alignment/>
    </xf>
    <xf numFmtId="0" fontId="0" fillId="6" borderId="23" xfId="0" applyFill="1" applyBorder="1" applyAlignment="1">
      <alignment horizontal="center"/>
    </xf>
    <xf numFmtId="0" fontId="0" fillId="0" borderId="63" xfId="0" applyBorder="1" applyAlignment="1">
      <alignment/>
    </xf>
    <xf numFmtId="0" fontId="1" fillId="4" borderId="63" xfId="0" applyFont="1" applyFill="1" applyBorder="1" applyAlignment="1" applyProtection="1">
      <alignment horizontal="center"/>
      <protection locked="0"/>
    </xf>
    <xf numFmtId="1" fontId="0" fillId="6" borderId="63" xfId="0" applyNumberFormat="1" applyFill="1" applyBorder="1" applyAlignment="1">
      <alignment horizontal="center"/>
    </xf>
    <xf numFmtId="0" fontId="1" fillId="7" borderId="45" xfId="0" applyFont="1" applyFill="1" applyBorder="1" applyAlignment="1" applyProtection="1">
      <alignment horizontal="left"/>
      <protection locked="0"/>
    </xf>
    <xf numFmtId="1" fontId="0" fillId="7" borderId="46" xfId="0" applyNumberFormat="1" applyFont="1" applyFill="1" applyBorder="1" applyAlignment="1">
      <alignment horizontal="right"/>
    </xf>
    <xf numFmtId="1" fontId="0" fillId="7" borderId="46" xfId="0" applyNumberFormat="1" applyFont="1" applyFill="1" applyBorder="1" applyAlignment="1">
      <alignment horizontal="center"/>
    </xf>
    <xf numFmtId="0" fontId="0" fillId="7" borderId="47" xfId="0" applyFont="1" applyFill="1" applyBorder="1" applyAlignment="1">
      <alignment horizontal="center"/>
    </xf>
    <xf numFmtId="208" fontId="1" fillId="7" borderId="71" xfId="0" applyNumberFormat="1" applyFont="1" applyFill="1" applyBorder="1" applyAlignment="1">
      <alignment horizontal="center"/>
    </xf>
    <xf numFmtId="0" fontId="0" fillId="3" borderId="22" xfId="0" applyFill="1" applyBorder="1" applyAlignment="1">
      <alignment/>
    </xf>
    <xf numFmtId="0" fontId="0" fillId="0" borderId="46" xfId="0" applyBorder="1" applyAlignment="1">
      <alignment horizontal="center"/>
    </xf>
    <xf numFmtId="0" fontId="1" fillId="0" borderId="46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1" fillId="3" borderId="23" xfId="0" applyFont="1" applyFill="1" applyBorder="1" applyAlignment="1" applyProtection="1">
      <alignment horizontal="center"/>
      <protection locked="0"/>
    </xf>
    <xf numFmtId="172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1" fillId="0" borderId="61" xfId="0" applyFont="1" applyBorder="1" applyAlignment="1">
      <alignment horizontal="center"/>
    </xf>
    <xf numFmtId="0" fontId="0" fillId="0" borderId="61" xfId="0" applyBorder="1" applyAlignment="1">
      <alignment/>
    </xf>
    <xf numFmtId="0" fontId="1" fillId="0" borderId="62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3" borderId="63" xfId="0" applyFont="1" applyFill="1" applyBorder="1" applyAlignment="1">
      <alignment/>
    </xf>
    <xf numFmtId="0" fontId="1" fillId="6" borderId="61" xfId="0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0" fontId="1" fillId="6" borderId="63" xfId="0" applyFont="1" applyFill="1" applyBorder="1" applyAlignment="1">
      <alignment/>
    </xf>
    <xf numFmtId="4" fontId="1" fillId="4" borderId="22" xfId="0" applyNumberFormat="1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3" fontId="7" fillId="0" borderId="21" xfId="39" applyNumberFormat="1" applyFont="1" applyBorder="1" applyAlignment="1" applyProtection="1">
      <alignment horizontal="center"/>
      <protection/>
    </xf>
    <xf numFmtId="190" fontId="6" fillId="0" borderId="27" xfId="39" applyNumberFormat="1" applyBorder="1" applyAlignment="1" applyProtection="1">
      <alignment horizontal="center"/>
      <protection/>
    </xf>
    <xf numFmtId="190" fontId="6" fillId="0" borderId="29" xfId="39" applyNumberFormat="1" applyBorder="1" applyAlignment="1" applyProtection="1">
      <alignment horizontal="center"/>
      <protection/>
    </xf>
    <xf numFmtId="190" fontId="6" fillId="0" borderId="28" xfId="39" applyNumberFormat="1" applyBorder="1" applyAlignment="1" applyProtection="1">
      <alignment horizontal="center"/>
      <protection/>
    </xf>
    <xf numFmtId="190" fontId="6" fillId="0" borderId="30" xfId="39" applyNumberFormat="1" applyBorder="1" applyAlignment="1" applyProtection="1">
      <alignment horizontal="center"/>
      <protection/>
    </xf>
    <xf numFmtId="190" fontId="6" fillId="0" borderId="0" xfId="39" applyNumberFormat="1" applyBorder="1" applyAlignment="1" applyProtection="1">
      <alignment horizontal="center"/>
      <protection/>
    </xf>
    <xf numFmtId="190" fontId="6" fillId="0" borderId="30" xfId="39" applyBorder="1">
      <alignment/>
      <protection/>
    </xf>
    <xf numFmtId="190" fontId="6" fillId="0" borderId="0" xfId="39" applyBorder="1">
      <alignment/>
      <protection/>
    </xf>
    <xf numFmtId="192" fontId="6" fillId="2" borderId="17" xfId="39" applyNumberFormat="1" applyFill="1" applyBorder="1" applyAlignment="1" applyProtection="1">
      <alignment horizontal="center"/>
      <protection/>
    </xf>
    <xf numFmtId="190" fontId="6" fillId="0" borderId="51" xfId="39" applyNumberFormat="1" applyBorder="1" applyAlignment="1" applyProtection="1">
      <alignment horizontal="center"/>
      <protection/>
    </xf>
    <xf numFmtId="190" fontId="6" fillId="0" borderId="60" xfId="39" applyNumberFormat="1" applyBorder="1" applyAlignment="1" applyProtection="1">
      <alignment horizontal="center"/>
      <protection/>
    </xf>
    <xf numFmtId="190" fontId="6" fillId="0" borderId="62" xfId="39" applyNumberFormat="1" applyBorder="1" applyAlignment="1" applyProtection="1">
      <alignment horizontal="center"/>
      <protection/>
    </xf>
    <xf numFmtId="205" fontId="6" fillId="2" borderId="61" xfId="39" applyNumberFormat="1" applyFill="1" applyBorder="1" applyAlignment="1" applyProtection="1">
      <alignment horizontal="center"/>
      <protection/>
    </xf>
    <xf numFmtId="205" fontId="7" fillId="0" borderId="22" xfId="39" applyNumberFormat="1" applyFont="1" applyBorder="1" applyAlignment="1" applyProtection="1">
      <alignment horizontal="center"/>
      <protection/>
    </xf>
    <xf numFmtId="190" fontId="6" fillId="0" borderId="62" xfId="39" applyBorder="1">
      <alignment/>
      <protection/>
    </xf>
    <xf numFmtId="192" fontId="6" fillId="2" borderId="61" xfId="39" applyNumberFormat="1" applyFill="1" applyBorder="1" applyAlignment="1" applyProtection="1">
      <alignment horizontal="center"/>
      <protection/>
    </xf>
    <xf numFmtId="192" fontId="6" fillId="0" borderId="62" xfId="39" applyNumberFormat="1" applyBorder="1" applyAlignment="1" applyProtection="1">
      <alignment horizontal="center"/>
      <protection/>
    </xf>
    <xf numFmtId="0" fontId="0" fillId="3" borderId="29" xfId="0" applyFill="1" applyBorder="1" applyAlignment="1">
      <alignment/>
    </xf>
    <xf numFmtId="2" fontId="0" fillId="4" borderId="0" xfId="0" applyNumberFormat="1" applyFill="1" applyBorder="1" applyAlignment="1">
      <alignment/>
    </xf>
    <xf numFmtId="0" fontId="1" fillId="0" borderId="27" xfId="0" applyFont="1" applyBorder="1" applyAlignment="1">
      <alignment horizontal="left"/>
    </xf>
    <xf numFmtId="0" fontId="0" fillId="0" borderId="29" xfId="0" applyBorder="1" applyAlignment="1">
      <alignment horizontal="center"/>
    </xf>
    <xf numFmtId="2" fontId="1" fillId="4" borderId="21" xfId="0" applyNumberFormat="1" applyFont="1" applyFill="1" applyBorder="1" applyAlignment="1">
      <alignment/>
    </xf>
    <xf numFmtId="175" fontId="1" fillId="4" borderId="21" xfId="0" applyNumberFormat="1" applyFont="1" applyFill="1" applyBorder="1" applyAlignment="1">
      <alignment/>
    </xf>
    <xf numFmtId="0" fontId="0" fillId="4" borderId="23" xfId="0" applyFill="1" applyBorder="1" applyAlignment="1">
      <alignment/>
    </xf>
    <xf numFmtId="0" fontId="1" fillId="3" borderId="0" xfId="0" applyFont="1" applyFill="1" applyAlignment="1">
      <alignment horizontal="left"/>
    </xf>
    <xf numFmtId="1" fontId="0" fillId="0" borderId="62" xfId="0" applyNumberFormat="1" applyBorder="1" applyAlignment="1">
      <alignment horizontal="center"/>
    </xf>
    <xf numFmtId="174" fontId="0" fillId="0" borderId="21" xfId="41" applyNumberFormat="1" applyBorder="1" applyAlignment="1">
      <alignment horizontal="center"/>
    </xf>
    <xf numFmtId="1" fontId="0" fillId="4" borderId="0" xfId="0" applyNumberFormat="1" applyFill="1" applyAlignment="1">
      <alignment horizontal="center"/>
    </xf>
    <xf numFmtId="177" fontId="1" fillId="4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4" borderId="61" xfId="0" applyNumberFormat="1" applyFont="1" applyFill="1" applyBorder="1" applyAlignment="1">
      <alignment horizontal="center"/>
    </xf>
    <xf numFmtId="0" fontId="24" fillId="0" borderId="62" xfId="0" applyFont="1" applyFill="1" applyBorder="1" applyAlignment="1">
      <alignment horizontal="center"/>
    </xf>
    <xf numFmtId="1" fontId="1" fillId="8" borderId="21" xfId="0" applyNumberFormat="1" applyFont="1" applyFill="1" applyBorder="1" applyAlignment="1">
      <alignment horizontal="center"/>
    </xf>
    <xf numFmtId="0" fontId="0" fillId="4" borderId="28" xfId="0" applyFill="1" applyBorder="1" applyAlignment="1">
      <alignment/>
    </xf>
    <xf numFmtId="0" fontId="0" fillId="3" borderId="51" xfId="0" applyFill="1" applyBorder="1" applyAlignment="1">
      <alignment/>
    </xf>
    <xf numFmtId="1" fontId="1" fillId="3" borderId="23" xfId="0" applyNumberFormat="1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6" borderId="0" xfId="0" applyFill="1" applyBorder="1" applyAlignment="1">
      <alignment/>
    </xf>
    <xf numFmtId="1" fontId="1" fillId="4" borderId="0" xfId="0" applyNumberFormat="1" applyFont="1" applyFill="1" applyBorder="1" applyAlignment="1">
      <alignment/>
    </xf>
    <xf numFmtId="0" fontId="1" fillId="3" borderId="23" xfId="0" applyNumberFormat="1" applyFont="1" applyFill="1" applyBorder="1" applyAlignment="1">
      <alignment horizontal="center"/>
    </xf>
    <xf numFmtId="175" fontId="0" fillId="4" borderId="0" xfId="0" applyNumberFormat="1" applyFill="1" applyAlignment="1">
      <alignment/>
    </xf>
    <xf numFmtId="2" fontId="1" fillId="4" borderId="22" xfId="0" applyNumberFormat="1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3" borderId="23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27" xfId="0" applyFont="1" applyBorder="1" applyAlignment="1">
      <alignment/>
    </xf>
    <xf numFmtId="0" fontId="0" fillId="3" borderId="28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3" fontId="0" fillId="4" borderId="22" xfId="0" applyNumberFormat="1" applyFont="1" applyFill="1" applyBorder="1" applyAlignment="1">
      <alignment horizontal="center"/>
    </xf>
    <xf numFmtId="0" fontId="0" fillId="4" borderId="23" xfId="0" applyFont="1" applyFill="1" applyBorder="1" applyAlignment="1">
      <alignment/>
    </xf>
    <xf numFmtId="178" fontId="1" fillId="4" borderId="22" xfId="0" applyNumberFormat="1" applyFont="1" applyFill="1" applyBorder="1" applyAlignment="1">
      <alignment horizontal="center"/>
    </xf>
    <xf numFmtId="177" fontId="0" fillId="4" borderId="23" xfId="0" applyNumberFormat="1" applyFill="1" applyBorder="1" applyAlignment="1">
      <alignment/>
    </xf>
    <xf numFmtId="0" fontId="1" fillId="0" borderId="28" xfId="0" applyFont="1" applyBorder="1" applyAlignment="1">
      <alignment horizontal="center"/>
    </xf>
    <xf numFmtId="175" fontId="1" fillId="4" borderId="17" xfId="0" applyNumberFormat="1" applyFont="1" applyFill="1" applyBorder="1" applyAlignment="1">
      <alignment horizontal="center"/>
    </xf>
    <xf numFmtId="215" fontId="0" fillId="4" borderId="61" xfId="0" applyNumberFormat="1" applyFill="1" applyBorder="1" applyAlignment="1">
      <alignment horizontal="center"/>
    </xf>
    <xf numFmtId="0" fontId="0" fillId="9" borderId="0" xfId="0" applyFill="1" applyAlignment="1">
      <alignment/>
    </xf>
    <xf numFmtId="0" fontId="1" fillId="4" borderId="0" xfId="0" applyFont="1" applyFill="1" applyAlignment="1">
      <alignment/>
    </xf>
    <xf numFmtId="0" fontId="25" fillId="0" borderId="0" xfId="0" applyFont="1" applyAlignment="1" quotePrefix="1">
      <alignment horizontal="left"/>
    </xf>
    <xf numFmtId="15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2" fillId="0" borderId="27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64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</cellXfs>
  <cellStyles count="28">
    <cellStyle name="Normal" xfId="0"/>
    <cellStyle name="Comma" xfId="15"/>
    <cellStyle name="Comma [0]" xfId="16"/>
    <cellStyle name="Milliers [0]_Classeur1" xfId="17"/>
    <cellStyle name="Milliers [0]_PIC_calculs.xls Graphique 1" xfId="18"/>
    <cellStyle name="Milliers [0]_PWM" xfId="19"/>
    <cellStyle name="Milliers [0]_RTCC" xfId="20"/>
    <cellStyle name="Milliers [0]_TableGenerator" xfId="21"/>
    <cellStyle name="Milliers_Classeur1" xfId="22"/>
    <cellStyle name="Milliers_PIC_calculs.xls Graphique 1" xfId="23"/>
    <cellStyle name="Milliers_PWM" xfId="24"/>
    <cellStyle name="Milliers_RTCC" xfId="25"/>
    <cellStyle name="Milliers_TableGenerator" xfId="26"/>
    <cellStyle name="Currency" xfId="27"/>
    <cellStyle name="Currency [0]" xfId="28"/>
    <cellStyle name="Monétaire [0]_Classeur1" xfId="29"/>
    <cellStyle name="Monétaire [0]_PIC_calculs.xls Graphique 1" xfId="30"/>
    <cellStyle name="Monétaire [0]_PWM" xfId="31"/>
    <cellStyle name="Monétaire [0]_RTCC" xfId="32"/>
    <cellStyle name="Monétaire [0]_TableGenerator" xfId="33"/>
    <cellStyle name="Monétaire_Classeur1" xfId="34"/>
    <cellStyle name="Monétaire_PIC_calculs.xls Graphique 1" xfId="35"/>
    <cellStyle name="Monétaire_PWM" xfId="36"/>
    <cellStyle name="Monétaire_RTCC" xfId="37"/>
    <cellStyle name="Monétaire_TableGenerator" xfId="38"/>
    <cellStyle name="Normal_PWM" xfId="39"/>
    <cellStyle name="Normal_RTCC" xfId="40"/>
    <cellStyle name="Percen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347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"/>
          <c:w val="0.96475"/>
          <c:h val="0.971"/>
        </c:manualLayout>
      </c:layout>
      <c:scatterChart>
        <c:scatterStyle val="smooth"/>
        <c:varyColors val="0"/>
        <c:ser>
          <c:idx val="0"/>
          <c:order val="0"/>
          <c:tx>
            <c:strRef>
              <c:f>'Table de sinus en Hexa'!$C$3</c:f>
              <c:strCache>
                <c:ptCount val="1"/>
                <c:pt idx="0">
                  <c:v>sinus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'Table de sinus en Hexa'!$B$4:$B$259</c:f>
              <c:numCache/>
            </c:numRef>
          </c:xVal>
          <c:yVal>
            <c:numRef>
              <c:f>'Table de sinus en Hexa'!$C$4:$C$259</c:f>
              <c:numCache/>
            </c:numRef>
          </c:yVal>
          <c:smooth val="1"/>
        </c:ser>
        <c:axId val="6884294"/>
        <c:axId val="48294079"/>
      </c:scatterChart>
      <c:valAx>
        <c:axId val="6884294"/>
        <c:scaling>
          <c:orientation val="minMax"/>
          <c:max val="256"/>
        </c:scaling>
        <c:axPos val="b"/>
        <c:majorGridlines>
          <c:spPr>
            <a:ln w="3175">
              <a:solidFill>
                <a:srgbClr val="008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294079"/>
        <c:crosses val="autoZero"/>
        <c:crossBetween val="midCat"/>
        <c:dispUnits/>
        <c:majorUnit val="32"/>
      </c:valAx>
      <c:valAx>
        <c:axId val="48294079"/>
        <c:scaling>
          <c:orientation val="minMax"/>
          <c:max val="256"/>
          <c:min val="0"/>
        </c:scaling>
        <c:axPos val="l"/>
        <c:majorGridlines>
          <c:spPr>
            <a:ln w="3175">
              <a:solidFill>
                <a:srgbClr val="008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884294"/>
        <c:crosses val="autoZero"/>
        <c:crossBetween val="midCat"/>
        <c:dispUnits/>
        <c:majorUnit val="3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f(x) = sin(x)/x + Offset</a:t>
            </a:r>
          </a:p>
        </c:rich>
      </c:tx>
      <c:layout>
        <c:manualLayout>
          <c:xMode val="factor"/>
          <c:yMode val="factor"/>
          <c:x val="0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8575"/>
          <c:w val="0.97975"/>
          <c:h val="0.898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Tabelle1!$B$5:$B$49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xVal>
          <c:yVal>
            <c:numRef>
              <c:f>Tabelle1!$C$5:$C$49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1"/>
        </c:ser>
        <c:axId val="11356012"/>
        <c:axId val="25736925"/>
      </c:scatterChart>
      <c:valAx>
        <c:axId val="11356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36925"/>
        <c:crosses val="autoZero"/>
        <c:crossBetween val="midCat"/>
        <c:dispUnits/>
      </c:valAx>
      <c:valAx>
        <c:axId val="25736925"/>
        <c:scaling>
          <c:orientation val="minMax"/>
          <c:max val="1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56012"/>
        <c:crosses val="autoZero"/>
        <c:crossBetween val="midCat"/>
        <c:dispUnits/>
        <c:minorUnit val="0.0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20</xdr:row>
      <xdr:rowOff>76200</xdr:rowOff>
    </xdr:from>
    <xdr:to>
      <xdr:col>7</xdr:col>
      <xdr:colOff>190500</xdr:colOff>
      <xdr:row>35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6725" y="3505200"/>
          <a:ext cx="4991100" cy="2371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voir delai4M.inc  delais20m.inc delaisfQ.inc
delay         movlw   0x001           ;standard delay routine. increase w value
                movwf   count1          ; for increased delay
                movlw   0x001           ;can set up any delay by calling delay1 (NB!)
                movwf   count2          ; with pre-set values in count1, 2, 3
                movlw   0x020           ;ex Myke Predko, piclist 4 Jan97
                movwf   count3          ;delay, (no of instructions)=
delay1       decfsz  count3,f      ;2 + 5*(count3-1) +
                goto    $-1             ;2 + (5*255 +2+5) * (count2-1) +
                decfsz  count2,f      ;2 + (5*255*256 +2 + 5*255 +2+5) *(count1-1)
                goto    $-3             ;  =
                decfsz  count1,f      ;5(count3-1)+1282(count2-1)+327684(count1-1)+6  
                goto    $-5             ;
        return             </a:t>
          </a:r>
        </a:p>
      </xdr:txBody>
    </xdr:sp>
    <xdr:clientData/>
  </xdr:twoCellAnchor>
  <xdr:twoCellAnchor>
    <xdr:from>
      <xdr:col>7</xdr:col>
      <xdr:colOff>371475</xdr:colOff>
      <xdr:row>21</xdr:row>
      <xdr:rowOff>38100</xdr:rowOff>
    </xdr:from>
    <xdr:to>
      <xdr:col>9</xdr:col>
      <xdr:colOff>723900</xdr:colOff>
      <xdr:row>30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38800" y="3629025"/>
          <a:ext cx="178117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delay_1ms       
                movlw   0x01
                movwf   count1
                movlw   0x01
                movwf   count2
                movlw   200
                movwf   count3
                goto    delay1
@4MHZ
</a:t>
          </a:r>
        </a:p>
      </xdr:txBody>
    </xdr:sp>
    <xdr:clientData/>
  </xdr:twoCellAnchor>
  <xdr:twoCellAnchor>
    <xdr:from>
      <xdr:col>1</xdr:col>
      <xdr:colOff>685800</xdr:colOff>
      <xdr:row>49</xdr:row>
      <xdr:rowOff>95250</xdr:rowOff>
    </xdr:from>
    <xdr:to>
      <xdr:col>6</xdr:col>
      <xdr:colOff>295275</xdr:colOff>
      <xdr:row>56</xdr:row>
      <xdr:rowOff>152400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1076325" y="8305800"/>
          <a:ext cx="372427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delay_RS4800   et Quartz 4,000MHz
         MOVLW           .66          ; .66 pour 4800 bauds
         MOVWF           count1  ; 1000000/4800=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208µS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DECFSZ          count1,F ; 1 cycle si pas de saut
         GOTO            $-1  ; 2cycles
         Return    ; 66* 3*1+2+2=207µS
  </a:t>
          </a:r>
        </a:p>
      </xdr:txBody>
    </xdr:sp>
    <xdr:clientData/>
  </xdr:twoCellAnchor>
  <xdr:twoCellAnchor>
    <xdr:from>
      <xdr:col>11</xdr:col>
      <xdr:colOff>742950</xdr:colOff>
      <xdr:row>19</xdr:row>
      <xdr:rowOff>57150</xdr:rowOff>
    </xdr:from>
    <xdr:to>
      <xdr:col>16</xdr:col>
      <xdr:colOff>95250</xdr:colOff>
      <xdr:row>37</xdr:row>
      <xdr:rowOff>57150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8572500" y="3324225"/>
          <a:ext cx="3343275" cy="2924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_DELAY10:
 MOVLW .10 ; 10 msec delay
 MOVWF _LOOP1
_DELAY_1:
 MOVLW .110 ; close to 1.0 msec delay when set to .110
 MOVWF  _LOOP2
_DELAY_2:
 goto $+1
 goto $+1
 goto $+1
 DECFSZ _LOOP2, F
 GOTO _DELAY_2
 DECFSZ _LOOP1, F
 GOTO _DELAY_1
 RETURN
</a:t>
          </a:r>
        </a:p>
      </xdr:txBody>
    </xdr:sp>
    <xdr:clientData/>
  </xdr:twoCellAnchor>
  <xdr:twoCellAnchor>
    <xdr:from>
      <xdr:col>6</xdr:col>
      <xdr:colOff>0</xdr:colOff>
      <xdr:row>48</xdr:row>
      <xdr:rowOff>152400</xdr:rowOff>
    </xdr:from>
    <xdr:to>
      <xdr:col>6</xdr:col>
      <xdr:colOff>695325</xdr:colOff>
      <xdr:row>52</xdr:row>
      <xdr:rowOff>38100</xdr:rowOff>
    </xdr:to>
    <xdr:sp>
      <xdr:nvSpPr>
        <xdr:cNvPr id="5" name="Line 11"/>
        <xdr:cNvSpPr>
          <a:spLocks/>
        </xdr:cNvSpPr>
      </xdr:nvSpPr>
      <xdr:spPr>
        <a:xfrm flipH="1">
          <a:off x="4505325" y="8201025"/>
          <a:ext cx="695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14</xdr:row>
      <xdr:rowOff>38100</xdr:rowOff>
    </xdr:from>
    <xdr:to>
      <xdr:col>8</xdr:col>
      <xdr:colOff>685800</xdr:colOff>
      <xdr:row>22</xdr:row>
      <xdr:rowOff>28575</xdr:rowOff>
    </xdr:to>
    <xdr:grpSp>
      <xdr:nvGrpSpPr>
        <xdr:cNvPr id="1" name="Group 23"/>
        <xdr:cNvGrpSpPr>
          <a:grpSpLocks/>
        </xdr:cNvGrpSpPr>
      </xdr:nvGrpSpPr>
      <xdr:grpSpPr>
        <a:xfrm>
          <a:off x="3286125" y="2305050"/>
          <a:ext cx="3343275" cy="1285875"/>
          <a:chOff x="74" y="226"/>
          <a:chExt cx="359" cy="135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204" y="274"/>
            <a:ext cx="62" cy="5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99" y="260"/>
            <a:ext cx="73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212" y="283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248" y="29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231" y="29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214" y="297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202" y="340"/>
            <a:ext cx="76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adj   +   -</a:t>
            </a:r>
          </a:p>
        </xdr:txBody>
      </xdr:sp>
      <xdr:sp>
        <xdr:nvSpPr>
          <xdr:cNvPr id="9" name="TextBox 10"/>
          <xdr:cNvSpPr txBox="1">
            <a:spLocks noChangeArrowheads="1"/>
          </xdr:cNvSpPr>
        </xdr:nvSpPr>
        <xdr:spPr>
          <a:xfrm>
            <a:off x="161" y="229"/>
            <a:ext cx="6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2,7K</a:t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>
            <a:off x="105" y="23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>
            <a:off x="125" y="239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 flipV="1">
            <a:off x="236" y="23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4"/>
          <xdr:cNvSpPr>
            <a:spLocks/>
          </xdr:cNvSpPr>
        </xdr:nvSpPr>
        <xdr:spPr>
          <a:xfrm flipH="1">
            <a:off x="223" y="23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>
            <a:off x="236" y="239"/>
            <a:ext cx="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6"/>
          <xdr:cNvSpPr>
            <a:spLocks/>
          </xdr:cNvSpPr>
        </xdr:nvSpPr>
        <xdr:spPr>
          <a:xfrm flipV="1">
            <a:off x="254" y="263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7"/>
          <xdr:cNvSpPr>
            <a:spLocks/>
          </xdr:cNvSpPr>
        </xdr:nvSpPr>
        <xdr:spPr>
          <a:xfrm>
            <a:off x="115" y="262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8"/>
          <xdr:cNvSpPr>
            <a:spLocks/>
          </xdr:cNvSpPr>
        </xdr:nvSpPr>
        <xdr:spPr>
          <a:xfrm>
            <a:off x="255" y="262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19"/>
          <xdr:cNvSpPr txBox="1">
            <a:spLocks noChangeArrowheads="1"/>
          </xdr:cNvSpPr>
        </xdr:nvSpPr>
        <xdr:spPr>
          <a:xfrm>
            <a:off x="74" y="226"/>
            <a:ext cx="26" cy="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+5v
0v</a:t>
            </a:r>
          </a:p>
        </xdr:txBody>
      </xdr:sp>
      <xdr:sp>
        <xdr:nvSpPr>
          <xdr:cNvPr id="19" name="Oval 20"/>
          <xdr:cNvSpPr>
            <a:spLocks/>
          </xdr:cNvSpPr>
        </xdr:nvSpPr>
        <xdr:spPr>
          <a:xfrm>
            <a:off x="252" y="260"/>
            <a:ext cx="5" cy="4"/>
          </a:xfrm>
          <a:prstGeom prst="ellipse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21"/>
          <xdr:cNvSpPr>
            <a:spLocks/>
          </xdr:cNvSpPr>
        </xdr:nvSpPr>
        <xdr:spPr>
          <a:xfrm>
            <a:off x="233" y="238"/>
            <a:ext cx="5" cy="4"/>
          </a:xfrm>
          <a:prstGeom prst="ellipse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Box 22"/>
          <xdr:cNvSpPr txBox="1">
            <a:spLocks noChangeArrowheads="1"/>
          </xdr:cNvSpPr>
        </xdr:nvSpPr>
        <xdr:spPr>
          <a:xfrm>
            <a:off x="328" y="232"/>
            <a:ext cx="105" cy="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2730mv @0°C
+10mV /°C</a:t>
            </a:r>
          </a:p>
        </xdr:txBody>
      </xdr:sp>
    </xdr:grpSp>
    <xdr:clientData/>
  </xdr:twoCellAnchor>
  <xdr:twoCellAnchor editAs="oneCell">
    <xdr:from>
      <xdr:col>1</xdr:col>
      <xdr:colOff>400050</xdr:colOff>
      <xdr:row>11</xdr:row>
      <xdr:rowOff>47625</xdr:rowOff>
    </xdr:from>
    <xdr:to>
      <xdr:col>4</xdr:col>
      <xdr:colOff>161925</xdr:colOff>
      <xdr:row>24</xdr:row>
      <xdr:rowOff>114300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828800"/>
          <a:ext cx="1971675" cy="2171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61</xdr:row>
      <xdr:rowOff>0</xdr:rowOff>
    </xdr:from>
    <xdr:to>
      <xdr:col>9</xdr:col>
      <xdr:colOff>266700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7077075" y="10039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65</xdr:row>
      <xdr:rowOff>0</xdr:rowOff>
    </xdr:from>
    <xdr:to>
      <xdr:col>9</xdr:col>
      <xdr:colOff>276225</xdr:colOff>
      <xdr:row>68</xdr:row>
      <xdr:rowOff>123825</xdr:rowOff>
    </xdr:to>
    <xdr:sp>
      <xdr:nvSpPr>
        <xdr:cNvPr id="2" name="Line 3"/>
        <xdr:cNvSpPr>
          <a:spLocks/>
        </xdr:cNvSpPr>
      </xdr:nvSpPr>
      <xdr:spPr>
        <a:xfrm>
          <a:off x="7086600" y="107061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68</xdr:row>
      <xdr:rowOff>123825</xdr:rowOff>
    </xdr:from>
    <xdr:to>
      <xdr:col>10</xdr:col>
      <xdr:colOff>161925</xdr:colOff>
      <xdr:row>68</xdr:row>
      <xdr:rowOff>123825</xdr:rowOff>
    </xdr:to>
    <xdr:sp>
      <xdr:nvSpPr>
        <xdr:cNvPr id="3" name="Line 4"/>
        <xdr:cNvSpPr>
          <a:spLocks/>
        </xdr:cNvSpPr>
      </xdr:nvSpPr>
      <xdr:spPr>
        <a:xfrm>
          <a:off x="7067550" y="113347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67</xdr:row>
      <xdr:rowOff>152400</xdr:rowOff>
    </xdr:from>
    <xdr:to>
      <xdr:col>11</xdr:col>
      <xdr:colOff>295275</xdr:colOff>
      <xdr:row>69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7734300" y="11191875"/>
          <a:ext cx="457200" cy="285750"/>
        </a:xfrm>
        <a:prstGeom prst="homePlate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DAC</a:t>
          </a:r>
        </a:p>
      </xdr:txBody>
    </xdr:sp>
    <xdr:clientData/>
  </xdr:twoCellAnchor>
  <xdr:twoCellAnchor>
    <xdr:from>
      <xdr:col>8</xdr:col>
      <xdr:colOff>638175</xdr:colOff>
      <xdr:row>62</xdr:row>
      <xdr:rowOff>123825</xdr:rowOff>
    </xdr:from>
    <xdr:to>
      <xdr:col>10</xdr:col>
      <xdr:colOff>133350</xdr:colOff>
      <xdr:row>65</xdr:row>
      <xdr:rowOff>123825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6629400" y="10325100"/>
          <a:ext cx="10763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Sinus
Table de
256 elem</a:t>
          </a:r>
        </a:p>
      </xdr:txBody>
    </xdr:sp>
    <xdr:clientData/>
  </xdr:twoCellAnchor>
  <xdr:twoCellAnchor>
    <xdr:from>
      <xdr:col>9</xdr:col>
      <xdr:colOff>19050</xdr:colOff>
      <xdr:row>59</xdr:row>
      <xdr:rowOff>114300</xdr:rowOff>
    </xdr:from>
    <xdr:to>
      <xdr:col>10</xdr:col>
      <xdr:colOff>142875</xdr:colOff>
      <xdr:row>60</xdr:row>
      <xdr:rowOff>133350</xdr:rowOff>
    </xdr:to>
    <xdr:sp>
      <xdr:nvSpPr>
        <xdr:cNvPr id="6" name="Rectangle 10"/>
        <xdr:cNvSpPr>
          <a:spLocks/>
        </xdr:cNvSpPr>
      </xdr:nvSpPr>
      <xdr:spPr>
        <a:xfrm>
          <a:off x="6829425" y="9829800"/>
          <a:ext cx="885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HSB</a:t>
          </a:r>
        </a:p>
      </xdr:txBody>
    </xdr:sp>
    <xdr:clientData/>
  </xdr:twoCellAnchor>
  <xdr:twoCellAnchor>
    <xdr:from>
      <xdr:col>5</xdr:col>
      <xdr:colOff>542925</xdr:colOff>
      <xdr:row>57</xdr:row>
      <xdr:rowOff>161925</xdr:rowOff>
    </xdr:from>
    <xdr:to>
      <xdr:col>12</xdr:col>
      <xdr:colOff>114300</xdr:colOff>
      <xdr:row>60</xdr:row>
      <xdr:rowOff>76200</xdr:rowOff>
    </xdr:to>
    <xdr:sp>
      <xdr:nvSpPr>
        <xdr:cNvPr id="7" name="AutoShape 11"/>
        <xdr:cNvSpPr>
          <a:spLocks/>
        </xdr:cNvSpPr>
      </xdr:nvSpPr>
      <xdr:spPr>
        <a:xfrm>
          <a:off x="4105275" y="9534525"/>
          <a:ext cx="4591050" cy="419100"/>
        </a:xfrm>
        <a:custGeom>
          <a:pathLst>
            <a:path h="48" w="441">
              <a:moveTo>
                <a:pt x="347" y="46"/>
              </a:moveTo>
              <a:cubicBezTo>
                <a:pt x="394" y="30"/>
                <a:pt x="441" y="14"/>
                <a:pt x="391" y="8"/>
              </a:cubicBezTo>
              <a:cubicBezTo>
                <a:pt x="341" y="2"/>
                <a:pt x="94" y="0"/>
                <a:pt x="47" y="7"/>
              </a:cubicBezTo>
              <a:cubicBezTo>
                <a:pt x="0" y="14"/>
                <a:pt x="53" y="31"/>
                <a:pt x="106" y="48"/>
              </a:cubicBezTo>
            </a:path>
          </a:pathLst>
        </a:cu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60</xdr:row>
      <xdr:rowOff>0</xdr:rowOff>
    </xdr:from>
    <xdr:to>
      <xdr:col>11</xdr:col>
      <xdr:colOff>38100</xdr:colOff>
      <xdr:row>60</xdr:row>
      <xdr:rowOff>47625</xdr:rowOff>
    </xdr:to>
    <xdr:sp>
      <xdr:nvSpPr>
        <xdr:cNvPr id="8" name="Line 12"/>
        <xdr:cNvSpPr>
          <a:spLocks/>
        </xdr:cNvSpPr>
      </xdr:nvSpPr>
      <xdr:spPr>
        <a:xfrm flipV="1">
          <a:off x="7743825" y="9877425"/>
          <a:ext cx="1905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59</xdr:row>
      <xdr:rowOff>114300</xdr:rowOff>
    </xdr:from>
    <xdr:to>
      <xdr:col>6</xdr:col>
      <xdr:colOff>600075</xdr:colOff>
      <xdr:row>60</xdr:row>
      <xdr:rowOff>28575</xdr:rowOff>
    </xdr:to>
    <xdr:sp>
      <xdr:nvSpPr>
        <xdr:cNvPr id="9" name="Line 13"/>
        <xdr:cNvSpPr>
          <a:spLocks/>
        </xdr:cNvSpPr>
      </xdr:nvSpPr>
      <xdr:spPr>
        <a:xfrm>
          <a:off x="4762500" y="9829800"/>
          <a:ext cx="2190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57</xdr:row>
      <xdr:rowOff>66675</xdr:rowOff>
    </xdr:from>
    <xdr:to>
      <xdr:col>8</xdr:col>
      <xdr:colOff>600075</xdr:colOff>
      <xdr:row>58</xdr:row>
      <xdr:rowOff>85725</xdr:rowOff>
    </xdr:to>
    <xdr:sp>
      <xdr:nvSpPr>
        <xdr:cNvPr id="10" name="Rectangle 14"/>
        <xdr:cNvSpPr>
          <a:spLocks/>
        </xdr:cNvSpPr>
      </xdr:nvSpPr>
      <xdr:spPr>
        <a:xfrm>
          <a:off x="5962650" y="9439275"/>
          <a:ext cx="628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boucle en</a:t>
          </a:r>
        </a:p>
      </xdr:txBody>
    </xdr:sp>
    <xdr:clientData/>
  </xdr:twoCellAnchor>
  <xdr:twoCellAnchor>
    <xdr:from>
      <xdr:col>8</xdr:col>
      <xdr:colOff>9525</xdr:colOff>
      <xdr:row>59</xdr:row>
      <xdr:rowOff>123825</xdr:rowOff>
    </xdr:from>
    <xdr:to>
      <xdr:col>8</xdr:col>
      <xdr:colOff>723900</xdr:colOff>
      <xdr:row>60</xdr:row>
      <xdr:rowOff>142875</xdr:rowOff>
    </xdr:to>
    <xdr:sp>
      <xdr:nvSpPr>
        <xdr:cNvPr id="11" name="Rectangle 15"/>
        <xdr:cNvSpPr>
          <a:spLocks/>
        </xdr:cNvSpPr>
      </xdr:nvSpPr>
      <xdr:spPr>
        <a:xfrm>
          <a:off x="6000750" y="9839325"/>
          <a:ext cx="7143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MSB</a:t>
          </a:r>
        </a:p>
      </xdr:txBody>
    </xdr:sp>
    <xdr:clientData/>
  </xdr:twoCellAnchor>
  <xdr:twoCellAnchor>
    <xdr:from>
      <xdr:col>7</xdr:col>
      <xdr:colOff>19050</xdr:colOff>
      <xdr:row>59</xdr:row>
      <xdr:rowOff>123825</xdr:rowOff>
    </xdr:from>
    <xdr:to>
      <xdr:col>7</xdr:col>
      <xdr:colOff>733425</xdr:colOff>
      <xdr:row>60</xdr:row>
      <xdr:rowOff>142875</xdr:rowOff>
    </xdr:to>
    <xdr:sp>
      <xdr:nvSpPr>
        <xdr:cNvPr id="12" name="Rectangle 16"/>
        <xdr:cNvSpPr>
          <a:spLocks/>
        </xdr:cNvSpPr>
      </xdr:nvSpPr>
      <xdr:spPr>
        <a:xfrm>
          <a:off x="5172075" y="9839325"/>
          <a:ext cx="7143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LSB</a:t>
          </a:r>
        </a:p>
      </xdr:txBody>
    </xdr:sp>
    <xdr:clientData/>
  </xdr:twoCellAnchor>
  <xdr:twoCellAnchor>
    <xdr:from>
      <xdr:col>8</xdr:col>
      <xdr:colOff>304800</xdr:colOff>
      <xdr:row>51</xdr:row>
      <xdr:rowOff>9525</xdr:rowOff>
    </xdr:from>
    <xdr:to>
      <xdr:col>8</xdr:col>
      <xdr:colOff>438150</xdr:colOff>
      <xdr:row>57</xdr:row>
      <xdr:rowOff>57150</xdr:rowOff>
    </xdr:to>
    <xdr:sp>
      <xdr:nvSpPr>
        <xdr:cNvPr id="13" name="Line 17"/>
        <xdr:cNvSpPr>
          <a:spLocks/>
        </xdr:cNvSpPr>
      </xdr:nvSpPr>
      <xdr:spPr>
        <a:xfrm flipV="1">
          <a:off x="6296025" y="8372475"/>
          <a:ext cx="133350" cy="1057275"/>
        </a:xfrm>
        <a:prstGeom prst="line">
          <a:avLst/>
        </a:prstGeom>
        <a:noFill/>
        <a:ln w="158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22</xdr:row>
      <xdr:rowOff>66675</xdr:rowOff>
    </xdr:from>
    <xdr:to>
      <xdr:col>7</xdr:col>
      <xdr:colOff>85725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685800" y="3667125"/>
        <a:ext cx="5495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323850</xdr:colOff>
      <xdr:row>13</xdr:row>
      <xdr:rowOff>95250</xdr:rowOff>
    </xdr:from>
    <xdr:to>
      <xdr:col>0</xdr:col>
      <xdr:colOff>1162050</xdr:colOff>
      <xdr:row>15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228850"/>
          <a:ext cx="838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47625</xdr:rowOff>
    </xdr:from>
    <xdr:to>
      <xdr:col>3</xdr:col>
      <xdr:colOff>0</xdr:colOff>
      <xdr:row>18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3124200" y="27432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1000125</xdr:colOff>
      <xdr:row>17</xdr:row>
      <xdr:rowOff>9525</xdr:rowOff>
    </xdr:from>
    <xdr:to>
      <xdr:col>4</xdr:col>
      <xdr:colOff>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124325" y="2705100"/>
          <a:ext cx="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28575</xdr:rowOff>
    </xdr:from>
    <xdr:to>
      <xdr:col>5</xdr:col>
      <xdr:colOff>0</xdr:colOff>
      <xdr:row>18</xdr:row>
      <xdr:rowOff>133350</xdr:rowOff>
    </xdr:to>
    <xdr:sp>
      <xdr:nvSpPr>
        <xdr:cNvPr id="3" name="Line 3"/>
        <xdr:cNvSpPr>
          <a:spLocks/>
        </xdr:cNvSpPr>
      </xdr:nvSpPr>
      <xdr:spPr>
        <a:xfrm flipV="1">
          <a:off x="4895850" y="27241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47625</xdr:rowOff>
    </xdr:from>
    <xdr:to>
      <xdr:col>6</xdr:col>
      <xdr:colOff>0</xdr:colOff>
      <xdr:row>18</xdr:row>
      <xdr:rowOff>104775</xdr:rowOff>
    </xdr:to>
    <xdr:sp>
      <xdr:nvSpPr>
        <xdr:cNvPr id="4" name="Line 4"/>
        <xdr:cNvSpPr>
          <a:spLocks/>
        </xdr:cNvSpPr>
      </xdr:nvSpPr>
      <xdr:spPr>
        <a:xfrm>
          <a:off x="5915025" y="2743200"/>
          <a:ext cx="0" cy="2095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28575</xdr:rowOff>
    </xdr:from>
    <xdr:to>
      <xdr:col>7</xdr:col>
      <xdr:colOff>9525</xdr:colOff>
      <xdr:row>18</xdr:row>
      <xdr:rowOff>133350</xdr:rowOff>
    </xdr:to>
    <xdr:sp>
      <xdr:nvSpPr>
        <xdr:cNvPr id="5" name="Line 5"/>
        <xdr:cNvSpPr>
          <a:spLocks/>
        </xdr:cNvSpPr>
      </xdr:nvSpPr>
      <xdr:spPr>
        <a:xfrm flipV="1">
          <a:off x="6705600" y="2724150"/>
          <a:ext cx="95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17</xdr:row>
      <xdr:rowOff>28575</xdr:rowOff>
    </xdr:from>
    <xdr:to>
      <xdr:col>7</xdr:col>
      <xdr:colOff>990600</xdr:colOff>
      <xdr:row>18</xdr:row>
      <xdr:rowOff>104775</xdr:rowOff>
    </xdr:to>
    <xdr:sp>
      <xdr:nvSpPr>
        <xdr:cNvPr id="6" name="Line 6"/>
        <xdr:cNvSpPr>
          <a:spLocks/>
        </xdr:cNvSpPr>
      </xdr:nvSpPr>
      <xdr:spPr>
        <a:xfrm>
          <a:off x="7696200" y="2724150"/>
          <a:ext cx="0" cy="228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</xdr:rowOff>
    </xdr:from>
    <xdr:to>
      <xdr:col>4</xdr:col>
      <xdr:colOff>0</xdr:colOff>
      <xdr:row>28</xdr:row>
      <xdr:rowOff>47625</xdr:rowOff>
    </xdr:to>
    <xdr:sp>
      <xdr:nvSpPr>
        <xdr:cNvPr id="7" name="Line 7"/>
        <xdr:cNvSpPr>
          <a:spLocks/>
        </xdr:cNvSpPr>
      </xdr:nvSpPr>
      <xdr:spPr>
        <a:xfrm>
          <a:off x="4124325" y="2543175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771525</xdr:colOff>
      <xdr:row>15</xdr:row>
      <xdr:rowOff>0</xdr:rowOff>
    </xdr:from>
    <xdr:to>
      <xdr:col>4</xdr:col>
      <xdr:colOff>771525</xdr:colOff>
      <xdr:row>28</xdr:row>
      <xdr:rowOff>142875</xdr:rowOff>
    </xdr:to>
    <xdr:sp>
      <xdr:nvSpPr>
        <xdr:cNvPr id="8" name="Line 8"/>
        <xdr:cNvSpPr>
          <a:spLocks/>
        </xdr:cNvSpPr>
      </xdr:nvSpPr>
      <xdr:spPr>
        <a:xfrm>
          <a:off x="4895850" y="2371725"/>
          <a:ext cx="0" cy="2190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28575</xdr:rowOff>
    </xdr:from>
    <xdr:to>
      <xdr:col>6</xdr:col>
      <xdr:colOff>0</xdr:colOff>
      <xdr:row>29</xdr:row>
      <xdr:rowOff>19050</xdr:rowOff>
    </xdr:to>
    <xdr:sp>
      <xdr:nvSpPr>
        <xdr:cNvPr id="9" name="Line 9"/>
        <xdr:cNvSpPr>
          <a:spLocks/>
        </xdr:cNvSpPr>
      </xdr:nvSpPr>
      <xdr:spPr>
        <a:xfrm>
          <a:off x="5915025" y="2400300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76200</xdr:rowOff>
    </xdr:from>
    <xdr:to>
      <xdr:col>7</xdr:col>
      <xdr:colOff>0</xdr:colOff>
      <xdr:row>29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6705600" y="244792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114300</xdr:rowOff>
    </xdr:from>
    <xdr:to>
      <xdr:col>8</xdr:col>
      <xdr:colOff>0</xdr:colOff>
      <xdr:row>29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7705725" y="248602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95250</xdr:rowOff>
    </xdr:from>
    <xdr:to>
      <xdr:col>3</xdr:col>
      <xdr:colOff>0</xdr:colOff>
      <xdr:row>28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3124200" y="262890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19050</xdr:rowOff>
    </xdr:from>
    <xdr:to>
      <xdr:col>9</xdr:col>
      <xdr:colOff>0</xdr:colOff>
      <xdr:row>29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8496300" y="2714625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57150</xdr:rowOff>
    </xdr:from>
    <xdr:to>
      <xdr:col>9</xdr:col>
      <xdr:colOff>0</xdr:colOff>
      <xdr:row>18</xdr:row>
      <xdr:rowOff>142875</xdr:rowOff>
    </xdr:to>
    <xdr:sp>
      <xdr:nvSpPr>
        <xdr:cNvPr id="14" name="Line 14"/>
        <xdr:cNvSpPr>
          <a:spLocks/>
        </xdr:cNvSpPr>
      </xdr:nvSpPr>
      <xdr:spPr>
        <a:xfrm flipV="1">
          <a:off x="8496300" y="27527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47625</xdr:rowOff>
    </xdr:from>
    <xdr:to>
      <xdr:col>2</xdr:col>
      <xdr:colOff>0</xdr:colOff>
      <xdr:row>9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1771650" y="13811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8</xdr:row>
      <xdr:rowOff>9525</xdr:rowOff>
    </xdr:from>
    <xdr:to>
      <xdr:col>3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771775" y="1343025"/>
          <a:ext cx="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28575</xdr:rowOff>
    </xdr:from>
    <xdr:to>
      <xdr:col>4</xdr:col>
      <xdr:colOff>0</xdr:colOff>
      <xdr:row>9</xdr:row>
      <xdr:rowOff>133350</xdr:rowOff>
    </xdr:to>
    <xdr:sp>
      <xdr:nvSpPr>
        <xdr:cNvPr id="3" name="Line 3"/>
        <xdr:cNvSpPr>
          <a:spLocks/>
        </xdr:cNvSpPr>
      </xdr:nvSpPr>
      <xdr:spPr>
        <a:xfrm flipV="1">
          <a:off x="3543300" y="13620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9</xdr:row>
      <xdr:rowOff>104775</xdr:rowOff>
    </xdr:to>
    <xdr:sp>
      <xdr:nvSpPr>
        <xdr:cNvPr id="4" name="Line 4"/>
        <xdr:cNvSpPr>
          <a:spLocks/>
        </xdr:cNvSpPr>
      </xdr:nvSpPr>
      <xdr:spPr>
        <a:xfrm>
          <a:off x="4562475" y="1381125"/>
          <a:ext cx="0" cy="2095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28575</xdr:rowOff>
    </xdr:from>
    <xdr:to>
      <xdr:col>6</xdr:col>
      <xdr:colOff>9525</xdr:colOff>
      <xdr:row>9</xdr:row>
      <xdr:rowOff>133350</xdr:rowOff>
    </xdr:to>
    <xdr:sp>
      <xdr:nvSpPr>
        <xdr:cNvPr id="5" name="Line 5"/>
        <xdr:cNvSpPr>
          <a:spLocks/>
        </xdr:cNvSpPr>
      </xdr:nvSpPr>
      <xdr:spPr>
        <a:xfrm flipV="1">
          <a:off x="5353050" y="1362075"/>
          <a:ext cx="95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8</xdr:row>
      <xdr:rowOff>28575</xdr:rowOff>
    </xdr:from>
    <xdr:to>
      <xdr:col>6</xdr:col>
      <xdr:colOff>990600</xdr:colOff>
      <xdr:row>9</xdr:row>
      <xdr:rowOff>104775</xdr:rowOff>
    </xdr:to>
    <xdr:sp>
      <xdr:nvSpPr>
        <xdr:cNvPr id="6" name="Line 6"/>
        <xdr:cNvSpPr>
          <a:spLocks/>
        </xdr:cNvSpPr>
      </xdr:nvSpPr>
      <xdr:spPr>
        <a:xfrm>
          <a:off x="6343650" y="1362075"/>
          <a:ext cx="0" cy="228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9525</xdr:rowOff>
    </xdr:from>
    <xdr:to>
      <xdr:col>3</xdr:col>
      <xdr:colOff>0</xdr:colOff>
      <xdr:row>19</xdr:row>
      <xdr:rowOff>47625</xdr:rowOff>
    </xdr:to>
    <xdr:sp>
      <xdr:nvSpPr>
        <xdr:cNvPr id="7" name="Line 7"/>
        <xdr:cNvSpPr>
          <a:spLocks/>
        </xdr:cNvSpPr>
      </xdr:nvSpPr>
      <xdr:spPr>
        <a:xfrm>
          <a:off x="2771775" y="118110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771525</xdr:colOff>
      <xdr:row>6</xdr:row>
      <xdr:rowOff>0</xdr:rowOff>
    </xdr:from>
    <xdr:to>
      <xdr:col>3</xdr:col>
      <xdr:colOff>771525</xdr:colOff>
      <xdr:row>19</xdr:row>
      <xdr:rowOff>142875</xdr:rowOff>
    </xdr:to>
    <xdr:sp>
      <xdr:nvSpPr>
        <xdr:cNvPr id="8" name="Line 8"/>
        <xdr:cNvSpPr>
          <a:spLocks/>
        </xdr:cNvSpPr>
      </xdr:nvSpPr>
      <xdr:spPr>
        <a:xfrm>
          <a:off x="3543300" y="1009650"/>
          <a:ext cx="0" cy="2190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28575</xdr:rowOff>
    </xdr:from>
    <xdr:to>
      <xdr:col>5</xdr:col>
      <xdr:colOff>0</xdr:colOff>
      <xdr:row>20</xdr:row>
      <xdr:rowOff>19050</xdr:rowOff>
    </xdr:to>
    <xdr:sp>
      <xdr:nvSpPr>
        <xdr:cNvPr id="9" name="Line 9"/>
        <xdr:cNvSpPr>
          <a:spLocks/>
        </xdr:cNvSpPr>
      </xdr:nvSpPr>
      <xdr:spPr>
        <a:xfrm>
          <a:off x="4562475" y="103822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76200</xdr:rowOff>
    </xdr:from>
    <xdr:to>
      <xdr:col>6</xdr:col>
      <xdr:colOff>0</xdr:colOff>
      <xdr:row>20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5353050" y="1085850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114300</xdr:rowOff>
    </xdr:from>
    <xdr:to>
      <xdr:col>7</xdr:col>
      <xdr:colOff>0</xdr:colOff>
      <xdr:row>20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6353175" y="1123950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2</xdr:col>
      <xdr:colOff>0</xdr:colOff>
      <xdr:row>19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1771650" y="1266825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19050</xdr:rowOff>
    </xdr:from>
    <xdr:to>
      <xdr:col>8</xdr:col>
      <xdr:colOff>0</xdr:colOff>
      <xdr:row>20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7143750" y="1352550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57150</xdr:rowOff>
    </xdr:from>
    <xdr:to>
      <xdr:col>8</xdr:col>
      <xdr:colOff>0</xdr:colOff>
      <xdr:row>9</xdr:row>
      <xdr:rowOff>142875</xdr:rowOff>
    </xdr:to>
    <xdr:sp>
      <xdr:nvSpPr>
        <xdr:cNvPr id="14" name="Line 14"/>
        <xdr:cNvSpPr>
          <a:spLocks/>
        </xdr:cNvSpPr>
      </xdr:nvSpPr>
      <xdr:spPr>
        <a:xfrm flipV="1">
          <a:off x="7143750" y="13906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0</xdr:row>
      <xdr:rowOff>152400</xdr:rowOff>
    </xdr:from>
    <xdr:to>
      <xdr:col>14</xdr:col>
      <xdr:colOff>104775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4419600" y="152400"/>
        <a:ext cx="47720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381000</xdr:colOff>
      <xdr:row>27</xdr:row>
      <xdr:rowOff>38100</xdr:rowOff>
    </xdr:from>
    <xdr:to>
      <xdr:col>10</xdr:col>
      <xdr:colOff>657225</xdr:colOff>
      <xdr:row>57</xdr:row>
      <xdr:rowOff>9525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4457700"/>
          <a:ext cx="2562225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28</xdr:row>
      <xdr:rowOff>19050</xdr:rowOff>
    </xdr:from>
    <xdr:to>
      <xdr:col>13</xdr:col>
      <xdr:colOff>238125</xdr:colOff>
      <xdr:row>29</xdr:row>
      <xdr:rowOff>85725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91375" y="4600575"/>
          <a:ext cx="1666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24</xdr:row>
      <xdr:rowOff>152400</xdr:rowOff>
    </xdr:from>
    <xdr:to>
      <xdr:col>13</xdr:col>
      <xdr:colOff>38100</xdr:colOff>
      <xdr:row>26</xdr:row>
      <xdr:rowOff>57150</xdr:rowOff>
    </xdr:to>
    <xdr:pic>
      <xdr:nvPicPr>
        <xdr:cNvPr id="4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086225"/>
          <a:ext cx="4210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18</xdr:row>
      <xdr:rowOff>85725</xdr:rowOff>
    </xdr:from>
    <xdr:to>
      <xdr:col>5</xdr:col>
      <xdr:colOff>742950</xdr:colOff>
      <xdr:row>18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1552575" y="3019425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85725</xdr:rowOff>
    </xdr:from>
    <xdr:to>
      <xdr:col>5</xdr:col>
      <xdr:colOff>742950</xdr:colOff>
      <xdr:row>20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1533525" y="3190875"/>
          <a:ext cx="30194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20</xdr:row>
      <xdr:rowOff>85725</xdr:rowOff>
    </xdr:from>
    <xdr:to>
      <xdr:col>5</xdr:col>
      <xdr:colOff>752475</xdr:colOff>
      <xdr:row>22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1514475" y="3352800"/>
          <a:ext cx="3048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76200</xdr:rowOff>
    </xdr:from>
    <xdr:to>
      <xdr:col>6</xdr:col>
      <xdr:colOff>0</xdr:colOff>
      <xdr:row>24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1524000" y="3514725"/>
          <a:ext cx="30480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22</xdr:row>
      <xdr:rowOff>85725</xdr:rowOff>
    </xdr:from>
    <xdr:to>
      <xdr:col>6</xdr:col>
      <xdr:colOff>0</xdr:colOff>
      <xdr:row>26</xdr:row>
      <xdr:rowOff>76200</xdr:rowOff>
    </xdr:to>
    <xdr:sp>
      <xdr:nvSpPr>
        <xdr:cNvPr id="5" name="Line 5"/>
        <xdr:cNvSpPr>
          <a:spLocks/>
        </xdr:cNvSpPr>
      </xdr:nvSpPr>
      <xdr:spPr>
        <a:xfrm flipH="1">
          <a:off x="1514475" y="3686175"/>
          <a:ext cx="30575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733425</xdr:colOff>
      <xdr:row>23</xdr:row>
      <xdr:rowOff>85725</xdr:rowOff>
    </xdr:from>
    <xdr:to>
      <xdr:col>5</xdr:col>
      <xdr:colOff>742950</xdr:colOff>
      <xdr:row>28</xdr:row>
      <xdr:rowOff>76200</xdr:rowOff>
    </xdr:to>
    <xdr:sp>
      <xdr:nvSpPr>
        <xdr:cNvPr id="6" name="Line 6"/>
        <xdr:cNvSpPr>
          <a:spLocks/>
        </xdr:cNvSpPr>
      </xdr:nvSpPr>
      <xdr:spPr>
        <a:xfrm flipH="1">
          <a:off x="1495425" y="3857625"/>
          <a:ext cx="30575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7</xdr:row>
      <xdr:rowOff>38100</xdr:rowOff>
    </xdr:from>
    <xdr:to>
      <xdr:col>2</xdr:col>
      <xdr:colOff>1181100</xdr:colOff>
      <xdr:row>8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209675"/>
          <a:ext cx="752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</xdr:row>
      <xdr:rowOff>0</xdr:rowOff>
    </xdr:from>
    <xdr:to>
      <xdr:col>26</xdr:col>
      <xdr:colOff>219075</xdr:colOff>
      <xdr:row>42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277100" y="161925"/>
          <a:ext cx="4800600" cy="6800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Sub to_Ascii()
' to_Ascii Macro
' Macro enregistrée le 21/11/2004 par FREYER Paul
Dim n, i, j As Integer
Dim A$, B$, C$, D$, E$, F$, G$, H$, M$
    H$ = ""
     Range("D5:E39").Select
    Selection.Clear
    Range("C4").Select
    A$ = ActiveCell.FormulaR1C1
    n = Len(ActiveCell.FormulaR1C1)
    Debug.Print B$, n
    Range("D4").Select
    ActiveCell.FormulaR1C1 = n
    For j = 1 To n
     C$ = Mid(A$, j, 1)
     M$ = Trim$(Str$(j + 4))
     D$ = "D" + M$
     Range(D$).Select
     ActiveCell.FormulaR1C1 = C$
     E$ = "E" + M$
     Range(E$).Select
     If Asc(C$) &gt; 96 Then
            C$ = Chr(Asc(C$) - 32)
     End If
     ActiveCell.FormulaR1C1 = Asc(C$)
     G$ = "G" + M$
     Range(G$).Select
     ActiveCell.FormulaR1C1 = "WRITE " &amp; Str(j) &amp; "," &amp; Str(Asc(C$))
     H$ = H$ + C$
  Next j
    Range("D5:F39").Select
    With Selection
        .HorizontalAlignment = xlCenter
        .VerticalAlignment = xlBottom
        .WrapText = False
        .Orientation = 0
        .ShrinkToFit = False
        .MergeCells = False
    End With
    'Range("F5:F43").Select
    'Application.CutCopyMode = False
    'Selection.Copy
    'Range("G12").Select
    'Selection.PasteSpecial Paste:=xlValues, Operation:=xlNone, SkipBlanks:= _
     '   False, Transpose:=True
    'Range("J25").Select
    'Columns("G:Z").Select
    'Selection.ColumnWidth = 3
    Range("C5").Select
    ActiveCell.FormulaR1C1 = H$
     Range("D5").Select
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46"/>
  <sheetViews>
    <sheetView workbookViewId="0" topLeftCell="A1">
      <selection activeCell="D19" sqref="D19"/>
    </sheetView>
  </sheetViews>
  <sheetFormatPr defaultColWidth="11.421875" defaultRowHeight="12.75"/>
  <cols>
    <col min="2" max="2" width="22.8515625" style="0" customWidth="1"/>
    <col min="3" max="3" width="15.28125" style="0" customWidth="1"/>
    <col min="4" max="4" width="14.57421875" style="0" customWidth="1"/>
  </cols>
  <sheetData>
    <row r="4" ht="12.75">
      <c r="B4" s="429">
        <v>38816</v>
      </c>
    </row>
    <row r="5" ht="12.75">
      <c r="B5" s="229" t="s">
        <v>798</v>
      </c>
    </row>
    <row r="6" spans="2:3" ht="12.75">
      <c r="B6" t="s">
        <v>886</v>
      </c>
      <c r="C6" t="s">
        <v>884</v>
      </c>
    </row>
    <row r="7" ht="12.75">
      <c r="B7" t="s">
        <v>887</v>
      </c>
    </row>
    <row r="8" ht="12.75">
      <c r="B8" t="s">
        <v>885</v>
      </c>
    </row>
    <row r="9" ht="12.75">
      <c r="B9" t="s">
        <v>888</v>
      </c>
    </row>
    <row r="10" ht="25.5">
      <c r="C10" s="79" t="s">
        <v>925</v>
      </c>
    </row>
    <row r="11" spans="2:3" ht="12.75">
      <c r="B11" t="s">
        <v>889</v>
      </c>
      <c r="C11">
        <v>0.979</v>
      </c>
    </row>
    <row r="12" spans="2:3" ht="12.75">
      <c r="B12" t="s">
        <v>890</v>
      </c>
      <c r="C12">
        <v>4.98</v>
      </c>
    </row>
    <row r="13" spans="2:3" ht="12.75">
      <c r="B13" t="s">
        <v>891</v>
      </c>
      <c r="C13">
        <v>24.99</v>
      </c>
    </row>
    <row r="14" spans="2:3" ht="12.75">
      <c r="B14" t="s">
        <v>892</v>
      </c>
      <c r="C14">
        <v>99.96</v>
      </c>
    </row>
    <row r="15" spans="2:3" ht="12.75">
      <c r="B15" t="s">
        <v>893</v>
      </c>
      <c r="C15">
        <v>249.9</v>
      </c>
    </row>
    <row r="16" spans="2:3" ht="12.75">
      <c r="B16" t="s">
        <v>894</v>
      </c>
      <c r="C16">
        <v>499.9</v>
      </c>
    </row>
    <row r="17" spans="2:3" ht="12.75">
      <c r="B17" t="s">
        <v>895</v>
      </c>
      <c r="C17">
        <v>749.9</v>
      </c>
    </row>
    <row r="18" spans="2:3" ht="12.75">
      <c r="B18" t="s">
        <v>896</v>
      </c>
      <c r="C18">
        <v>999.9</v>
      </c>
    </row>
    <row r="19" spans="2:3" ht="12.75">
      <c r="B19" t="s">
        <v>897</v>
      </c>
      <c r="C19">
        <v>1199</v>
      </c>
    </row>
    <row r="20" spans="2:3" ht="12.75">
      <c r="B20" t="s">
        <v>898</v>
      </c>
      <c r="C20">
        <v>1299</v>
      </c>
    </row>
    <row r="21" spans="2:3" ht="12.75">
      <c r="B21" t="s">
        <v>899</v>
      </c>
      <c r="C21">
        <v>1399</v>
      </c>
    </row>
    <row r="22" spans="2:3" ht="12.75">
      <c r="B22" t="s">
        <v>900</v>
      </c>
      <c r="C22">
        <v>1499</v>
      </c>
    </row>
    <row r="23" spans="2:3" ht="12.75">
      <c r="B23" t="s">
        <v>901</v>
      </c>
      <c r="C23">
        <v>1999</v>
      </c>
    </row>
    <row r="24" spans="2:3" ht="12.75">
      <c r="B24" t="s">
        <v>902</v>
      </c>
      <c r="C24">
        <v>2099</v>
      </c>
    </row>
    <row r="25" spans="2:3" ht="12.75">
      <c r="B25" t="s">
        <v>903</v>
      </c>
      <c r="C25">
        <v>2199</v>
      </c>
    </row>
    <row r="26" spans="2:3" ht="12.75">
      <c r="B26" t="s">
        <v>904</v>
      </c>
      <c r="C26">
        <v>2299</v>
      </c>
    </row>
    <row r="27" spans="2:3" ht="12.75">
      <c r="B27" t="s">
        <v>905</v>
      </c>
      <c r="C27">
        <v>2500</v>
      </c>
    </row>
    <row r="28" spans="2:3" ht="12.75">
      <c r="B28" t="s">
        <v>906</v>
      </c>
      <c r="C28">
        <v>2999</v>
      </c>
    </row>
    <row r="29" spans="2:3" ht="12.75">
      <c r="B29" t="s">
        <v>907</v>
      </c>
      <c r="C29">
        <v>3999</v>
      </c>
    </row>
    <row r="30" spans="2:3" ht="12.75">
      <c r="B30" t="s">
        <v>908</v>
      </c>
      <c r="C30">
        <v>4999</v>
      </c>
    </row>
    <row r="31" spans="2:3" ht="12.75">
      <c r="B31" t="s">
        <v>909</v>
      </c>
      <c r="C31">
        <v>5999</v>
      </c>
    </row>
    <row r="32" spans="2:3" ht="12.75">
      <c r="B32" t="s">
        <v>910</v>
      </c>
      <c r="C32">
        <v>6999</v>
      </c>
    </row>
    <row r="33" spans="2:3" ht="12.75">
      <c r="B33" t="s">
        <v>911</v>
      </c>
      <c r="C33">
        <v>7999</v>
      </c>
    </row>
    <row r="34" spans="2:3" ht="12.75">
      <c r="B34" t="s">
        <v>912</v>
      </c>
      <c r="C34">
        <v>8999</v>
      </c>
    </row>
    <row r="35" spans="2:3" ht="12.75">
      <c r="B35" t="s">
        <v>913</v>
      </c>
      <c r="C35">
        <v>9999</v>
      </c>
    </row>
    <row r="36" spans="2:3" ht="12.75">
      <c r="B36" t="s">
        <v>914</v>
      </c>
      <c r="C36">
        <v>10999</v>
      </c>
    </row>
    <row r="37" spans="2:3" ht="12.75">
      <c r="B37" t="s">
        <v>915</v>
      </c>
      <c r="C37">
        <v>11999</v>
      </c>
    </row>
    <row r="38" spans="2:3" ht="12.75">
      <c r="B38" t="s">
        <v>916</v>
      </c>
      <c r="C38">
        <v>12999</v>
      </c>
    </row>
    <row r="39" spans="2:3" ht="12.75">
      <c r="B39" t="s">
        <v>917</v>
      </c>
      <c r="C39">
        <v>13999</v>
      </c>
    </row>
    <row r="40" spans="2:3" ht="12.75">
      <c r="B40" t="s">
        <v>918</v>
      </c>
      <c r="C40">
        <v>14999</v>
      </c>
    </row>
    <row r="41" spans="2:3" ht="12.75">
      <c r="B41" t="s">
        <v>919</v>
      </c>
      <c r="C41">
        <v>15999</v>
      </c>
    </row>
    <row r="42" spans="2:3" ht="12.75">
      <c r="B42" t="s">
        <v>920</v>
      </c>
      <c r="C42">
        <v>16999</v>
      </c>
    </row>
    <row r="43" spans="2:3" ht="12.75">
      <c r="B43" t="s">
        <v>921</v>
      </c>
      <c r="C43">
        <v>17999</v>
      </c>
    </row>
    <row r="44" spans="2:3" ht="12.75">
      <c r="B44" t="s">
        <v>922</v>
      </c>
      <c r="C44">
        <v>18999</v>
      </c>
    </row>
    <row r="45" spans="2:3" ht="12.75">
      <c r="B45" t="s">
        <v>923</v>
      </c>
      <c r="C45">
        <v>19999</v>
      </c>
    </row>
    <row r="46" spans="2:3" ht="12.75">
      <c r="B46" t="s">
        <v>924</v>
      </c>
      <c r="C46">
        <v>75999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9" transitionEvaluation="1" transitionEntry="1">
    <pageSetUpPr fitToPage="1"/>
  </sheetPr>
  <dimension ref="A3:F11"/>
  <sheetViews>
    <sheetView showGridLines="0" workbookViewId="0" topLeftCell="A1">
      <selection activeCell="C12" sqref="C12"/>
    </sheetView>
  </sheetViews>
  <sheetFormatPr defaultColWidth="12.140625" defaultRowHeight="12.75"/>
  <cols>
    <col min="1" max="1" width="16.7109375" style="200" customWidth="1"/>
    <col min="2" max="2" width="14.8515625" style="200" customWidth="1"/>
    <col min="3" max="4" width="16.7109375" style="200" customWidth="1"/>
    <col min="5" max="5" width="18.00390625" style="200" customWidth="1"/>
    <col min="6" max="6" width="13.28125" style="200" customWidth="1"/>
    <col min="7" max="16384" width="10.28125" style="200" customWidth="1"/>
  </cols>
  <sheetData>
    <row r="2" ht="12.75" thickBot="1"/>
    <row r="3" spans="2:6" ht="12">
      <c r="B3" s="367" t="s">
        <v>402</v>
      </c>
      <c r="C3" s="376" t="s">
        <v>399</v>
      </c>
      <c r="D3" s="376" t="s">
        <v>453</v>
      </c>
      <c r="E3" s="376" t="s">
        <v>454</v>
      </c>
      <c r="F3" s="369" t="s">
        <v>455</v>
      </c>
    </row>
    <row r="4" spans="2:6" ht="12.75" thickBot="1">
      <c r="B4" s="370"/>
      <c r="C4" s="377" t="s">
        <v>456</v>
      </c>
      <c r="D4" s="377"/>
      <c r="E4" s="377" t="s">
        <v>444</v>
      </c>
      <c r="F4" s="375"/>
    </row>
    <row r="5" spans="1:6" ht="12.75" thickBot="1">
      <c r="A5" s="199"/>
      <c r="B5" s="366">
        <v>4000000</v>
      </c>
      <c r="C5" s="201">
        <v>4</v>
      </c>
      <c r="D5" s="201">
        <v>255</v>
      </c>
      <c r="E5" s="378">
        <f>1/((1/(B5/4))*C5*(D5+1))</f>
        <v>976.5625</v>
      </c>
      <c r="F5" s="374">
        <f>(LOG(B5/E5))/LOG(2)</f>
        <v>12</v>
      </c>
    </row>
    <row r="7" ht="12.75" thickBot="1"/>
    <row r="8" spans="2:6" ht="12">
      <c r="B8" s="367" t="s">
        <v>402</v>
      </c>
      <c r="C8" s="368" t="s">
        <v>399</v>
      </c>
      <c r="D8" s="368" t="s">
        <v>454</v>
      </c>
      <c r="E8" s="376" t="s">
        <v>453</v>
      </c>
      <c r="F8" s="376" t="s">
        <v>455</v>
      </c>
    </row>
    <row r="9" spans="2:6" ht="12">
      <c r="B9" s="370"/>
      <c r="C9" s="371" t="s">
        <v>456</v>
      </c>
      <c r="D9" s="371" t="s">
        <v>444</v>
      </c>
      <c r="E9" s="377"/>
      <c r="F9" s="382"/>
    </row>
    <row r="10" spans="2:6" ht="12.75" thickBot="1">
      <c r="B10" s="372"/>
      <c r="C10" s="373"/>
      <c r="D10" s="373"/>
      <c r="E10" s="380"/>
      <c r="F10" s="380"/>
    </row>
    <row r="11" spans="2:6" ht="12.75" thickBot="1">
      <c r="B11" s="366">
        <v>4000000</v>
      </c>
      <c r="C11" s="201">
        <v>1</v>
      </c>
      <c r="D11" s="379">
        <v>977</v>
      </c>
      <c r="E11" s="381">
        <f>((1/D11)/(C11*(4/B11)))-1</f>
        <v>1022.541453428864</v>
      </c>
      <c r="F11" s="381">
        <f>(LOG(B11/D11))/LOG(2)</f>
        <v>11.99935381735579</v>
      </c>
    </row>
  </sheetData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orientation="landscape" paperSize="9" r:id="rId1"/>
  <headerFooter alignWithMargins="0">
    <oddHeader>&amp;L&amp;F    &amp;A&amp;R&amp;D</oddHeader>
    <oddFooter>&amp;R&amp;P  / 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G178"/>
  <sheetViews>
    <sheetView workbookViewId="0" topLeftCell="A1">
      <selection activeCell="E5" sqref="E5"/>
    </sheetView>
  </sheetViews>
  <sheetFormatPr defaultColWidth="11.421875" defaultRowHeight="12.75"/>
  <cols>
    <col min="1" max="1" width="6.57421875" style="198" customWidth="1"/>
    <col min="2" max="2" width="9.8515625" style="0" customWidth="1"/>
    <col min="3" max="3" width="9.421875" style="0" customWidth="1"/>
    <col min="4" max="4" width="3.8515625" style="0" customWidth="1"/>
    <col min="5" max="5" width="8.57421875" style="0" bestFit="1" customWidth="1"/>
    <col min="6" max="6" width="10.28125" style="0" bestFit="1" customWidth="1"/>
    <col min="7" max="7" width="12.140625" style="0" customWidth="1"/>
    <col min="8" max="13" width="11.421875" style="186" customWidth="1"/>
    <col min="14" max="14" width="7.00390625" style="186" customWidth="1"/>
    <col min="15" max="16" width="11.421875" style="186" customWidth="1"/>
  </cols>
  <sheetData>
    <row r="1" spans="1:6" ht="12.75">
      <c r="A1" s="430" t="s">
        <v>445</v>
      </c>
      <c r="B1" s="430"/>
      <c r="C1" s="83">
        <v>14</v>
      </c>
      <c r="D1" s="83"/>
      <c r="E1" s="185" t="s">
        <v>446</v>
      </c>
      <c r="F1" s="83">
        <v>65536</v>
      </c>
    </row>
    <row r="2" spans="1:6" ht="12.75">
      <c r="A2" s="430" t="s">
        <v>447</v>
      </c>
      <c r="B2" s="430"/>
      <c r="C2" s="187">
        <v>0.22</v>
      </c>
      <c r="D2" s="83"/>
      <c r="E2" s="83"/>
      <c r="F2" s="83"/>
    </row>
    <row r="3" spans="1:6" ht="12.75" customHeight="1">
      <c r="A3" s="185"/>
      <c r="B3" s="185"/>
      <c r="C3" s="187"/>
      <c r="D3" s="83"/>
      <c r="E3" s="83"/>
      <c r="F3" s="83"/>
    </row>
    <row r="4" spans="1:7" ht="16.5" customHeight="1">
      <c r="A4" s="188"/>
      <c r="B4" s="189" t="s">
        <v>448</v>
      </c>
      <c r="C4" s="189" t="s">
        <v>449</v>
      </c>
      <c r="D4" s="189"/>
      <c r="E4" s="189" t="s">
        <v>450</v>
      </c>
      <c r="F4" s="189" t="s">
        <v>451</v>
      </c>
      <c r="G4" s="189" t="s">
        <v>452</v>
      </c>
    </row>
    <row r="5" spans="1:7" ht="12.75">
      <c r="A5" s="190">
        <v>-45</v>
      </c>
      <c r="B5" s="191">
        <f aca="true" t="shared" si="0" ref="B5:B49">A5/$C$1*2*PI()</f>
        <v>-20.19595277307724</v>
      </c>
      <c r="C5" s="191">
        <f aca="true" t="shared" si="1" ref="C5:C49">SIN(B5)/(B5)+($C$2)</f>
        <v>0.2682734299855106</v>
      </c>
      <c r="D5" s="192"/>
      <c r="E5" s="193">
        <f aca="true" t="shared" si="2" ref="E5:E50">INT((C5)/(1+($C$2))*($F$1))</f>
        <v>14411</v>
      </c>
      <c r="F5" s="85" t="str">
        <f>_XLL.DEZINHEX((INT(E5)/256),2)</f>
        <v>38</v>
      </c>
      <c r="G5" s="85" t="e">
        <f>_XLL.DEZINHEX(MOD(E5,256),2)</f>
        <v>#NAME?</v>
      </c>
    </row>
    <row r="6" spans="1:7" ht="12.75">
      <c r="A6" s="190">
        <v>-44</v>
      </c>
      <c r="B6" s="191">
        <f t="shared" si="0"/>
        <v>-19.747153822564414</v>
      </c>
      <c r="C6" s="191">
        <f t="shared" si="1"/>
        <v>0.25959210980443453</v>
      </c>
      <c r="D6" s="192"/>
      <c r="E6" s="193">
        <f t="shared" si="2"/>
        <v>13944</v>
      </c>
      <c r="F6" s="85" t="str">
        <f>_XLL.DEZINHEX((INT(E6)/256),2)</f>
        <v>36</v>
      </c>
      <c r="G6" s="85" t="str">
        <f>_XLL.DEZINHEX(MOD(E6,256),2)</f>
        <v>78</v>
      </c>
    </row>
    <row r="7" spans="1:7" ht="12.75">
      <c r="A7" s="190">
        <v>-43</v>
      </c>
      <c r="B7" s="191">
        <f t="shared" si="0"/>
        <v>-19.298354872051586</v>
      </c>
      <c r="C7" s="191">
        <f t="shared" si="1"/>
        <v>0.2424829391932221</v>
      </c>
      <c r="D7" s="192"/>
      <c r="E7" s="193">
        <f t="shared" si="2"/>
        <v>13025</v>
      </c>
      <c r="F7" s="85" t="str">
        <f>_XLL.DEZINHEX((INT(E7)/256),2)</f>
        <v>32</v>
      </c>
      <c r="G7" s="85" t="str">
        <f>_XLL.DEZINHEX(MOD(E7,256),2)</f>
        <v>E1</v>
      </c>
    </row>
    <row r="8" spans="1:7" ht="12.75">
      <c r="A8" s="190">
        <v>-42</v>
      </c>
      <c r="B8" s="191">
        <f t="shared" si="0"/>
        <v>-18.84955592153876</v>
      </c>
      <c r="C8" s="191">
        <f t="shared" si="1"/>
        <v>0.21999999999999997</v>
      </c>
      <c r="D8" s="192"/>
      <c r="E8" s="193">
        <f t="shared" si="2"/>
        <v>11817</v>
      </c>
      <c r="F8" s="85" t="str">
        <f>_XLL.DEZINHEX((INT(E8)/256),2)</f>
        <v>2E</v>
      </c>
      <c r="G8" s="85" t="str">
        <f>_XLL.DEZINHEX(MOD(E8,256),2)</f>
        <v>29</v>
      </c>
    </row>
    <row r="9" spans="1:7" ht="12.75">
      <c r="A9" s="190">
        <v>-41</v>
      </c>
      <c r="B9" s="191">
        <f t="shared" si="0"/>
        <v>-18.40075697102593</v>
      </c>
      <c r="C9" s="191">
        <f t="shared" si="1"/>
        <v>0.19642033206564505</v>
      </c>
      <c r="D9" s="192"/>
      <c r="E9" s="193">
        <f t="shared" si="2"/>
        <v>10551</v>
      </c>
      <c r="F9" s="85" t="str">
        <f>_XLL.DEZINHEX((INT(E9)/256),2)</f>
        <v>29</v>
      </c>
      <c r="G9" s="85" t="str">
        <f>_XLL.DEZINHEX(MOD(E9,256),2)</f>
        <v>37</v>
      </c>
    </row>
    <row r="10" spans="1:7" ht="12.75">
      <c r="A10" s="190">
        <v>-40</v>
      </c>
      <c r="B10" s="191">
        <f t="shared" si="0"/>
        <v>-17.951958020513104</v>
      </c>
      <c r="C10" s="191">
        <f t="shared" si="1"/>
        <v>0.17644867921512197</v>
      </c>
      <c r="D10" s="192"/>
      <c r="E10" s="193">
        <f t="shared" si="2"/>
        <v>9478</v>
      </c>
      <c r="F10" s="85" t="str">
        <f>_XLL.DEZINHEX((INT(E10)/256),2)</f>
        <v>25</v>
      </c>
      <c r="G10" s="85" t="str">
        <f>_XLL.DEZINHEX(MOD(E10,256),2)</f>
        <v>06</v>
      </c>
    </row>
    <row r="11" spans="1:7" ht="12.75">
      <c r="A11" s="190">
        <v>-39</v>
      </c>
      <c r="B11" s="191">
        <f t="shared" si="0"/>
        <v>-17.503159070000276</v>
      </c>
      <c r="C11" s="191">
        <f t="shared" si="1"/>
        <v>0.16429988847825694</v>
      </c>
      <c r="D11" s="192"/>
      <c r="E11" s="193">
        <f t="shared" si="2"/>
        <v>8825</v>
      </c>
      <c r="F11" s="85" t="str">
        <f>_XLL.DEZINHEX((INT(E11)/256),2)</f>
        <v>22</v>
      </c>
      <c r="G11" s="85" t="str">
        <f>_XLL.DEZINHEX(MOD(E11,256),2)</f>
        <v>79</v>
      </c>
    </row>
    <row r="12" spans="1:7" ht="12.75">
      <c r="A12" s="190">
        <v>-38</v>
      </c>
      <c r="B12" s="191">
        <f t="shared" si="0"/>
        <v>-17.05436011948745</v>
      </c>
      <c r="C12" s="191">
        <f t="shared" si="1"/>
        <v>0.16283409606979005</v>
      </c>
      <c r="D12" s="192"/>
      <c r="E12" s="193">
        <f t="shared" si="2"/>
        <v>8747</v>
      </c>
      <c r="F12" s="85" t="str">
        <f>_XLL.DEZINHEX((INT(E12)/256),2)</f>
        <v>22</v>
      </c>
      <c r="G12" s="85" t="str">
        <f>_XLL.DEZINHEX(MOD(E12,256),2)</f>
        <v>2B</v>
      </c>
    </row>
    <row r="13" spans="1:7" ht="12.75">
      <c r="A13" s="190">
        <v>-37</v>
      </c>
      <c r="B13" s="191">
        <f t="shared" si="0"/>
        <v>-16.60556116897462</v>
      </c>
      <c r="C13" s="191">
        <f t="shared" si="1"/>
        <v>0.17291749104337514</v>
      </c>
      <c r="D13" s="192"/>
      <c r="E13" s="193">
        <f t="shared" si="2"/>
        <v>9288</v>
      </c>
      <c r="F13" s="85" t="str">
        <f>_XLL.DEZINHEX((INT(E13)/256),2)</f>
        <v>24</v>
      </c>
      <c r="G13" s="85" t="str">
        <f>_XLL.DEZINHEX(MOD(E13,256),2)</f>
        <v>48</v>
      </c>
    </row>
    <row r="14" spans="1:7" ht="12.75">
      <c r="A14" s="190">
        <v>-36</v>
      </c>
      <c r="B14" s="191">
        <f t="shared" si="0"/>
        <v>-16.156762218461793</v>
      </c>
      <c r="C14" s="191">
        <f t="shared" si="1"/>
        <v>0.19314537818587357</v>
      </c>
      <c r="D14" s="192"/>
      <c r="E14" s="193">
        <f t="shared" si="2"/>
        <v>10375</v>
      </c>
      <c r="F14" s="85" t="str">
        <f>_XLL.DEZINHEX((INT(E14)/256),2)</f>
        <v>28</v>
      </c>
      <c r="G14" s="85" t="str">
        <f>_XLL.DEZINHEX(MOD(E14,256),2)</f>
        <v>87</v>
      </c>
    </row>
    <row r="15" spans="1:7" ht="12.75">
      <c r="A15" s="190">
        <v>-35</v>
      </c>
      <c r="B15" s="191">
        <f t="shared" si="0"/>
        <v>-15.707963267948966</v>
      </c>
      <c r="C15" s="191">
        <f t="shared" si="1"/>
        <v>0.22000000000000003</v>
      </c>
      <c r="D15" s="192"/>
      <c r="E15" s="193">
        <f t="shared" si="2"/>
        <v>11817</v>
      </c>
      <c r="F15" s="85" t="str">
        <f>_XLL.DEZINHEX((INT(E15)/256),2)</f>
        <v>2E</v>
      </c>
      <c r="G15" s="85" t="str">
        <f>_XLL.DEZINHEX(MOD(E15,256),2)</f>
        <v>29</v>
      </c>
    </row>
    <row r="16" spans="1:7" ht="12.75">
      <c r="A16" s="190">
        <v>-34</v>
      </c>
      <c r="B16" s="191">
        <f t="shared" si="0"/>
        <v>-15.259164317436136</v>
      </c>
      <c r="C16" s="191">
        <f t="shared" si="1"/>
        <v>0.2484343054502517</v>
      </c>
      <c r="D16" s="192"/>
      <c r="E16" s="193">
        <f t="shared" si="2"/>
        <v>13345</v>
      </c>
      <c r="F16" s="85" t="str">
        <f>_XLL.DEZINHEX((INT(E16)/256),2)</f>
        <v>34</v>
      </c>
      <c r="G16" s="85" t="str">
        <f>_XLL.DEZINHEX(MOD(E16,256),2)</f>
        <v>21</v>
      </c>
    </row>
    <row r="17" spans="1:7" ht="12.75">
      <c r="A17" s="190">
        <v>-33</v>
      </c>
      <c r="B17" s="191">
        <f t="shared" si="0"/>
        <v>-14.81036536692331</v>
      </c>
      <c r="C17" s="191">
        <f t="shared" si="1"/>
        <v>0.2727894797392461</v>
      </c>
      <c r="D17" s="192"/>
      <c r="E17" s="193">
        <f t="shared" si="2"/>
        <v>14653</v>
      </c>
      <c r="F17" s="85" t="str">
        <f>_XLL.DEZINHEX((INT(E17)/256),2)</f>
        <v>39</v>
      </c>
      <c r="G17" s="85" t="str">
        <f>_XLL.DEZINHEX(MOD(E17,256),2)</f>
        <v>3D</v>
      </c>
    </row>
    <row r="18" spans="1:7" ht="12.75">
      <c r="A18" s="190">
        <v>-32</v>
      </c>
      <c r="B18" s="191">
        <f t="shared" si="0"/>
        <v>-14.361566416410483</v>
      </c>
      <c r="C18" s="191">
        <f t="shared" si="1"/>
        <v>0.28788451091712436</v>
      </c>
      <c r="D18" s="192"/>
      <c r="E18" s="193">
        <f t="shared" si="2"/>
        <v>15464</v>
      </c>
      <c r="F18" s="85" t="str">
        <f>_XLL.DEZINHEX((INT(E18)/256),2)</f>
        <v>3C</v>
      </c>
      <c r="G18" s="85" t="str">
        <f>_XLL.DEZINHEX(MOD(E18,256),2)</f>
        <v>68</v>
      </c>
    </row>
    <row r="19" spans="1:7" ht="12.75">
      <c r="A19" s="190">
        <v>-31</v>
      </c>
      <c r="B19" s="191">
        <f t="shared" si="0"/>
        <v>-13.912767465897655</v>
      </c>
      <c r="C19" s="191">
        <f t="shared" si="1"/>
        <v>0.2900743338499348</v>
      </c>
      <c r="D19" s="192"/>
      <c r="E19" s="193">
        <f t="shared" si="2"/>
        <v>15582</v>
      </c>
      <c r="F19" s="85" t="str">
        <f>_XLL.DEZINHEX((INT(E19)/256),2)</f>
        <v>3C</v>
      </c>
      <c r="G19" s="85" t="str">
        <f>_XLL.DEZINHEX(MOD(E19,256),2)</f>
        <v>DE</v>
      </c>
    </row>
    <row r="20" spans="1:7" ht="12.75">
      <c r="A20" s="190">
        <v>-30</v>
      </c>
      <c r="B20" s="191">
        <f t="shared" si="0"/>
        <v>-13.463968515384828</v>
      </c>
      <c r="C20" s="191">
        <f t="shared" si="1"/>
        <v>0.27806842771317064</v>
      </c>
      <c r="D20" s="192"/>
      <c r="E20" s="193">
        <f t="shared" si="2"/>
        <v>14937</v>
      </c>
      <c r="F20" s="85" t="str">
        <f>_XLL.DEZINHEX((INT(E20)/256),2)</f>
        <v>3A</v>
      </c>
      <c r="G20" s="85" t="str">
        <f>_XLL.DEZINHEX(MOD(E20,256),2)</f>
        <v>59</v>
      </c>
    </row>
    <row r="21" spans="1:7" ht="12.75">
      <c r="A21" s="190">
        <v>-29</v>
      </c>
      <c r="B21" s="191">
        <f t="shared" si="0"/>
        <v>-13.015169564872002</v>
      </c>
      <c r="C21" s="191">
        <f t="shared" si="1"/>
        <v>0.25333677190719156</v>
      </c>
      <c r="D21" s="192"/>
      <c r="E21" s="193">
        <f t="shared" si="2"/>
        <v>13608</v>
      </c>
      <c r="F21" s="85" t="str">
        <f>_XLL.DEZINHEX((INT(E21)/256),2)</f>
        <v>35</v>
      </c>
      <c r="G21" s="85" t="str">
        <f>_XLL.DEZINHEX(MOD(E21,256),2)</f>
        <v>28</v>
      </c>
    </row>
    <row r="22" spans="1:7" ht="12.75">
      <c r="A22" s="190">
        <v>-28</v>
      </c>
      <c r="B22" s="191">
        <f t="shared" si="0"/>
        <v>-12.566370614359172</v>
      </c>
      <c r="C22" s="191">
        <f t="shared" si="1"/>
        <v>0.21999999999999997</v>
      </c>
      <c r="D22" s="192"/>
      <c r="E22" s="193">
        <f t="shared" si="2"/>
        <v>11817</v>
      </c>
      <c r="F22" s="85" t="str">
        <f>_XLL.DEZINHEX((INT(E22)/256),2)</f>
        <v>2E</v>
      </c>
      <c r="G22" s="85" t="str">
        <f>_XLL.DEZINHEX(MOD(E22,256),2)</f>
        <v>29</v>
      </c>
    </row>
    <row r="23" spans="1:7" ht="12.75">
      <c r="A23" s="190">
        <v>-27</v>
      </c>
      <c r="B23" s="191">
        <f t="shared" si="0"/>
        <v>-12.117571663846345</v>
      </c>
      <c r="C23" s="191">
        <f t="shared" si="1"/>
        <v>0.1841938375811647</v>
      </c>
      <c r="D23" s="192"/>
      <c r="E23" s="193">
        <f t="shared" si="2"/>
        <v>9894</v>
      </c>
      <c r="F23" s="85" t="str">
        <f>_XLL.DEZINHEX((INT(E23)/256),2)</f>
        <v>26</v>
      </c>
      <c r="G23" s="85" t="str">
        <f>_XLL.DEZINHEX(MOD(E23,256),2)</f>
        <v>A6</v>
      </c>
    </row>
    <row r="24" spans="1:7" ht="12.75">
      <c r="A24" s="190">
        <v>-26</v>
      </c>
      <c r="B24" s="191">
        <f t="shared" si="0"/>
        <v>-11.668772713333517</v>
      </c>
      <c r="C24" s="191">
        <f t="shared" si="1"/>
        <v>0.1529979680232646</v>
      </c>
      <c r="D24" s="192"/>
      <c r="E24" s="193">
        <f t="shared" si="2"/>
        <v>8218</v>
      </c>
      <c r="F24" s="85" t="str">
        <f>_XLL.DEZINHEX((INT(E24)/256),2)</f>
        <v>20</v>
      </c>
      <c r="G24" s="85" t="str">
        <f>_XLL.DEZINHEX(MOD(E24,256),2)</f>
        <v>1A</v>
      </c>
    </row>
    <row r="25" spans="1:7" ht="12.75">
      <c r="A25" s="190">
        <v>-25</v>
      </c>
      <c r="B25" s="191">
        <f t="shared" si="0"/>
        <v>-11.21997376282069</v>
      </c>
      <c r="C25" s="191">
        <f t="shared" si="1"/>
        <v>0.13310782602608084</v>
      </c>
      <c r="D25" s="192"/>
      <c r="E25" s="193">
        <f t="shared" si="2"/>
        <v>7150</v>
      </c>
      <c r="F25" s="85" t="str">
        <f>_XLL.DEZINHEX((INT(E25)/256),2)</f>
        <v>1B</v>
      </c>
      <c r="G25" s="85" t="str">
        <f>_XLL.DEZINHEX(MOD(E25,256),2)</f>
        <v>EE</v>
      </c>
    </row>
    <row r="26" spans="1:7" ht="12.75">
      <c r="A26" s="190">
        <v>-24</v>
      </c>
      <c r="B26" s="191">
        <f t="shared" si="0"/>
        <v>-10.771174812307862</v>
      </c>
      <c r="C26" s="191">
        <f t="shared" si="1"/>
        <v>0.12948731877716757</v>
      </c>
      <c r="D26" s="192"/>
      <c r="E26" s="193">
        <f t="shared" si="2"/>
        <v>6955</v>
      </c>
      <c r="F26" s="85" t="str">
        <f>_XLL.DEZINHEX((INT(E26)/256),2)</f>
        <v>1B</v>
      </c>
      <c r="G26" s="85" t="str">
        <f>_XLL.DEZINHEX(MOD(E26,256),2)</f>
        <v>2B</v>
      </c>
    </row>
    <row r="27" spans="1:7" ht="12.75">
      <c r="A27" s="190">
        <v>-23</v>
      </c>
      <c r="B27" s="191">
        <f t="shared" si="0"/>
        <v>-10.322375861795035</v>
      </c>
      <c r="C27" s="191">
        <f t="shared" si="1"/>
        <v>0.14425857254803826</v>
      </c>
      <c r="D27" s="192"/>
      <c r="E27" s="193">
        <f t="shared" si="2"/>
        <v>7749</v>
      </c>
      <c r="F27" s="85" t="str">
        <f>_XLL.DEZINHEX((INT(E27)/256),2)</f>
        <v>1E</v>
      </c>
      <c r="G27" s="85" t="str">
        <f>_XLL.DEZINHEX(MOD(E27,256),2)</f>
        <v>45</v>
      </c>
    </row>
    <row r="28" spans="1:7" ht="12.75">
      <c r="A28" s="190">
        <v>-22</v>
      </c>
      <c r="B28" s="191">
        <f t="shared" si="0"/>
        <v>-9.873576911282207</v>
      </c>
      <c r="C28" s="191">
        <f t="shared" si="1"/>
        <v>0.17605607339506585</v>
      </c>
      <c r="D28" s="192"/>
      <c r="E28" s="193">
        <f t="shared" si="2"/>
        <v>9457</v>
      </c>
      <c r="F28" s="85" t="str">
        <f>_XLL.DEZINHEX((INT(E28)/256),2)</f>
        <v>24</v>
      </c>
      <c r="G28" s="85" t="str">
        <f>_XLL.DEZINHEX(MOD(E28,256),2)</f>
        <v>F1</v>
      </c>
    </row>
    <row r="29" spans="1:7" ht="12.75">
      <c r="A29" s="190">
        <v>-21</v>
      </c>
      <c r="B29" s="191">
        <f t="shared" si="0"/>
        <v>-9.42477796076938</v>
      </c>
      <c r="C29" s="191">
        <f t="shared" si="1"/>
        <v>0.22000000000000003</v>
      </c>
      <c r="D29" s="192"/>
      <c r="E29" s="193">
        <f t="shared" si="2"/>
        <v>11817</v>
      </c>
      <c r="F29" s="85" t="str">
        <f>_XLL.DEZINHEX((INT(E29)/256),2)</f>
        <v>2E</v>
      </c>
      <c r="G29" s="85" t="str">
        <f>_XLL.DEZINHEX(MOD(E29,256),2)</f>
        <v>29</v>
      </c>
    </row>
    <row r="30" spans="1:7" ht="12.75">
      <c r="A30" s="190">
        <v>-20</v>
      </c>
      <c r="B30" s="191">
        <f t="shared" si="0"/>
        <v>-8.975979010256552</v>
      </c>
      <c r="C30" s="191">
        <f t="shared" si="1"/>
        <v>0.26833831926542767</v>
      </c>
      <c r="D30" s="192"/>
      <c r="E30" s="193">
        <f t="shared" si="2"/>
        <v>14414</v>
      </c>
      <c r="F30" s="85" t="str">
        <f>_XLL.DEZINHEX((INT(E30)/256),2)</f>
        <v>38</v>
      </c>
      <c r="G30" s="85" t="str">
        <f>_XLL.DEZINHEX(MOD(E30,256),2)</f>
        <v>4E</v>
      </c>
    </row>
    <row r="31" spans="1:7" ht="12.75">
      <c r="A31" s="190">
        <v>-19</v>
      </c>
      <c r="B31" s="191">
        <f t="shared" si="0"/>
        <v>-8.527180059743724</v>
      </c>
      <c r="C31" s="191">
        <f t="shared" si="1"/>
        <v>0.311686991126059</v>
      </c>
      <c r="D31" s="192"/>
      <c r="E31" s="193">
        <f t="shared" si="2"/>
        <v>16743</v>
      </c>
      <c r="F31" s="85" t="str">
        <f>_XLL.DEZINHEX((INT(E31)/256),2)</f>
        <v>41</v>
      </c>
      <c r="G31" s="85" t="str">
        <f>_XLL.DEZINHEX(MOD(E31,256),2)</f>
        <v>67</v>
      </c>
    </row>
    <row r="32" spans="1:7" ht="12.75">
      <c r="A32" s="190">
        <v>-18</v>
      </c>
      <c r="B32" s="191">
        <f t="shared" si="0"/>
        <v>-8.078381109230897</v>
      </c>
      <c r="C32" s="191">
        <f t="shared" si="1"/>
        <v>0.3406835749637766</v>
      </c>
      <c r="D32" s="192"/>
      <c r="E32" s="193">
        <f t="shared" si="2"/>
        <v>18300</v>
      </c>
      <c r="F32" s="85" t="str">
        <f>_XLL.DEZINHEX((INT(E32)/256),2)</f>
        <v>47</v>
      </c>
      <c r="G32" s="85" t="str">
        <f>_XLL.DEZINHEX(MOD(E32,256),2)</f>
        <v>7C</v>
      </c>
    </row>
    <row r="33" spans="1:7" ht="12.75">
      <c r="A33" s="190">
        <v>-17</v>
      </c>
      <c r="B33" s="191">
        <f t="shared" si="0"/>
        <v>-7.629582158718068</v>
      </c>
      <c r="C33" s="191">
        <f t="shared" si="1"/>
        <v>0.3477826087851752</v>
      </c>
      <c r="D33" s="192"/>
      <c r="E33" s="193">
        <f t="shared" si="2"/>
        <v>18682</v>
      </c>
      <c r="F33" s="85" t="str">
        <f>_XLL.DEZINHEX((INT(E33)/256),2)</f>
        <v>48</v>
      </c>
      <c r="G33" s="85" t="str">
        <f>_XLL.DEZINHEX(MOD(E33,256),2)</f>
        <v>FA</v>
      </c>
    </row>
    <row r="34" spans="1:7" ht="12.75">
      <c r="A34" s="190">
        <v>-16</v>
      </c>
      <c r="B34" s="191">
        <f t="shared" si="0"/>
        <v>-7.180783208205241</v>
      </c>
      <c r="C34" s="191">
        <f t="shared" si="1"/>
        <v>0.32887830196219503</v>
      </c>
      <c r="D34" s="192"/>
      <c r="E34" s="193">
        <f t="shared" si="2"/>
        <v>17666</v>
      </c>
      <c r="F34" s="85" t="str">
        <f>_XLL.DEZINHEX((INT(E34)/256),2)</f>
        <v>45</v>
      </c>
      <c r="G34" s="85" t="str">
        <f>_XLL.DEZINHEX(MOD(E34,256),2)</f>
        <v>02</v>
      </c>
    </row>
    <row r="35" spans="1:7" ht="12.75">
      <c r="A35" s="190">
        <v>-15</v>
      </c>
      <c r="B35" s="191">
        <f t="shared" si="0"/>
        <v>-6.731984257692414</v>
      </c>
      <c r="C35" s="191">
        <f t="shared" si="1"/>
        <v>0.2844510923539034</v>
      </c>
      <c r="D35" s="192"/>
      <c r="E35" s="193">
        <f t="shared" si="2"/>
        <v>15280</v>
      </c>
      <c r="F35" s="85" t="str">
        <f>_XLL.DEZINHEX((INT(E35)/256),2)</f>
        <v>3B</v>
      </c>
      <c r="G35" s="85" t="str">
        <f>_XLL.DEZINHEX(MOD(E35,256),2)</f>
        <v>B0</v>
      </c>
    </row>
    <row r="36" spans="1:7" ht="12.75">
      <c r="A36" s="190">
        <v>-14</v>
      </c>
      <c r="B36" s="191">
        <f t="shared" si="0"/>
        <v>-6.283185307179586</v>
      </c>
      <c r="C36" s="191">
        <f t="shared" si="1"/>
        <v>0.21999999999999997</v>
      </c>
      <c r="D36" s="192"/>
      <c r="E36" s="193">
        <f t="shared" si="2"/>
        <v>11817</v>
      </c>
      <c r="F36" s="85" t="str">
        <f>_XLL.DEZINHEX((INT(E36)/256),2)</f>
        <v>2E</v>
      </c>
      <c r="G36" s="85" t="str">
        <f>_XLL.DEZINHEX(MOD(E36,256),2)</f>
        <v>29</v>
      </c>
    </row>
    <row r="37" spans="1:7" ht="12.75">
      <c r="A37" s="190">
        <v>-13</v>
      </c>
      <c r="B37" s="191">
        <f t="shared" si="0"/>
        <v>-5.834386356666759</v>
      </c>
      <c r="C37" s="191">
        <f t="shared" si="1"/>
        <v>0.14563335497626517</v>
      </c>
      <c r="D37" s="192"/>
      <c r="E37" s="193">
        <f t="shared" si="2"/>
        <v>7823</v>
      </c>
      <c r="F37" s="85" t="str">
        <f>_XLL.DEZINHEX((INT(E37)/256),2)</f>
        <v>1E</v>
      </c>
      <c r="G37" s="85" t="str">
        <f>_XLL.DEZINHEX(MOD(E37,256),2)</f>
        <v>8F</v>
      </c>
    </row>
    <row r="38" spans="1:7" ht="12.75">
      <c r="A38" s="190">
        <v>-12</v>
      </c>
      <c r="B38" s="191">
        <f t="shared" si="0"/>
        <v>-5.385587406153931</v>
      </c>
      <c r="C38" s="191">
        <f t="shared" si="1"/>
        <v>0.07482893071707325</v>
      </c>
      <c r="D38" s="192"/>
      <c r="E38" s="193">
        <f t="shared" si="2"/>
        <v>4019</v>
      </c>
      <c r="F38" s="85" t="str">
        <f>_XLL.DEZINHEX((INT(E38)/256),2)</f>
        <v>0F</v>
      </c>
      <c r="G38" s="85" t="str">
        <f>_XLL.DEZINHEX(MOD(E38,256),2)</f>
        <v>B3</v>
      </c>
    </row>
    <row r="39" spans="1:7" ht="12.75">
      <c r="A39" s="190">
        <v>-11</v>
      </c>
      <c r="B39" s="191">
        <f t="shared" si="0"/>
        <v>-4.9367884556411035</v>
      </c>
      <c r="C39" s="191">
        <f t="shared" si="1"/>
        <v>0.022517786422911024</v>
      </c>
      <c r="D39" s="192"/>
      <c r="E39" s="193">
        <f t="shared" si="2"/>
        <v>1209</v>
      </c>
      <c r="F39" s="85" t="str">
        <f>_XLL.DEZINHEX((INT(E39)/256),2)</f>
        <v>04</v>
      </c>
      <c r="G39" s="85" t="str">
        <f>_XLL.DEZINHEX(MOD(E39,256),2)</f>
        <v>B9</v>
      </c>
    </row>
    <row r="40" spans="1:7" ht="12.75">
      <c r="A40" s="190">
        <v>-10</v>
      </c>
      <c r="B40" s="191">
        <f t="shared" si="0"/>
        <v>-4.487989505128276</v>
      </c>
      <c r="C40" s="191">
        <f t="shared" si="1"/>
        <v>0.002769565065202123</v>
      </c>
      <c r="D40" s="192"/>
      <c r="E40" s="193">
        <f t="shared" si="2"/>
        <v>148</v>
      </c>
      <c r="F40" s="85" t="str">
        <f>_XLL.DEZINHEX((INT(E40)/256),2)</f>
        <v>00</v>
      </c>
      <c r="G40" s="85" t="str">
        <f>_XLL.DEZINHEX(MOD(E40,256),2)</f>
        <v>94</v>
      </c>
    </row>
    <row r="41" spans="1:7" ht="12.75">
      <c r="A41" s="190">
        <v>-9</v>
      </c>
      <c r="B41" s="191">
        <f t="shared" si="0"/>
        <v>-4.039190554615448</v>
      </c>
      <c r="C41" s="191">
        <f t="shared" si="1"/>
        <v>0.02643857428943111</v>
      </c>
      <c r="D41" s="192"/>
      <c r="E41" s="193">
        <f t="shared" si="2"/>
        <v>1420</v>
      </c>
      <c r="F41" s="85" t="str">
        <f>_XLL.DEZINHEX((INT(E41)/256),2)</f>
        <v>05</v>
      </c>
      <c r="G41" s="85" t="str">
        <f>_XLL.DEZINHEX(MOD(E41,256),2)</f>
        <v>8C</v>
      </c>
    </row>
    <row r="42" spans="1:7" ht="12.75">
      <c r="A42" s="190">
        <v>-8</v>
      </c>
      <c r="B42" s="191">
        <f t="shared" si="0"/>
        <v>-3.5903916041026207</v>
      </c>
      <c r="C42" s="191">
        <f t="shared" si="1"/>
        <v>0.099154201836431</v>
      </c>
      <c r="D42" s="192"/>
      <c r="E42" s="193">
        <f t="shared" si="2"/>
        <v>5326</v>
      </c>
      <c r="F42" s="85" t="str">
        <f>_XLL.DEZINHEX((INT(E42)/256),2)</f>
        <v>14</v>
      </c>
      <c r="G42" s="85" t="str">
        <f>_XLL.DEZINHEX(MOD(E42,256),2)</f>
        <v>CE</v>
      </c>
    </row>
    <row r="43" spans="1:7" ht="12.75">
      <c r="A43" s="190">
        <v>-7</v>
      </c>
      <c r="B43" s="191">
        <f t="shared" si="0"/>
        <v>-3.141592653589793</v>
      </c>
      <c r="C43" s="191">
        <f t="shared" si="1"/>
        <v>0.22000000000000003</v>
      </c>
      <c r="D43" s="192"/>
      <c r="E43" s="193">
        <f t="shared" si="2"/>
        <v>11817</v>
      </c>
      <c r="F43" s="85" t="str">
        <f>_XLL.DEZINHEX((INT(E43)/256),2)</f>
        <v>2E</v>
      </c>
      <c r="G43" s="85" t="str">
        <f>_XLL.DEZINHEX(MOD(E43,256),2)</f>
        <v>29</v>
      </c>
    </row>
    <row r="44" spans="1:7" ht="12.75">
      <c r="A44" s="190">
        <v>-6</v>
      </c>
      <c r="B44" s="191">
        <f t="shared" si="0"/>
        <v>-2.6927937030769655</v>
      </c>
      <c r="C44" s="191">
        <f t="shared" si="1"/>
        <v>0.3811277308847587</v>
      </c>
      <c r="D44" s="192"/>
      <c r="E44" s="193">
        <f t="shared" si="2"/>
        <v>20473</v>
      </c>
      <c r="F44" s="85" t="str">
        <f>_XLL.DEZINHEX((INT(E44)/256),2)</f>
        <v>4F</v>
      </c>
      <c r="G44" s="85" t="str">
        <f>_XLL.DEZINHEX(MOD(E44,256),2)</f>
        <v>F9</v>
      </c>
    </row>
    <row r="45" spans="1:7" ht="12.75">
      <c r="A45" s="190">
        <v>-5</v>
      </c>
      <c r="B45" s="191">
        <f t="shared" si="0"/>
        <v>-2.243994752564138</v>
      </c>
      <c r="C45" s="191">
        <f t="shared" si="1"/>
        <v>0.5684105662790241</v>
      </c>
      <c r="D45" s="192"/>
      <c r="E45" s="193">
        <f t="shared" si="2"/>
        <v>30533</v>
      </c>
      <c r="F45" s="85" t="str">
        <f>_XLL.DEZINHEX((INT(E45)/256),2)</f>
        <v>77</v>
      </c>
      <c r="G45" s="85" t="str">
        <f>_XLL.DEZINHEX(MOD(E45,256),2)</f>
        <v>45</v>
      </c>
    </row>
    <row r="46" spans="1:7" ht="12.75">
      <c r="A46" s="190">
        <v>-4</v>
      </c>
      <c r="B46" s="191">
        <f t="shared" si="0"/>
        <v>-1.7951958020513104</v>
      </c>
      <c r="C46" s="191">
        <f t="shared" si="1"/>
        <v>0.7630760873369946</v>
      </c>
      <c r="D46" s="192"/>
      <c r="E46" s="193">
        <f t="shared" si="2"/>
        <v>40990</v>
      </c>
      <c r="F46" s="85" t="str">
        <f>_XLL.DEZINHEX((INT(E46)/256),2)</f>
        <v>A0</v>
      </c>
      <c r="G46" s="85" t="str">
        <f>_XLL.DEZINHEX(MOD(E46,256),2)</f>
        <v>1E</v>
      </c>
    </row>
    <row r="47" spans="1:7" ht="12.75">
      <c r="A47" s="190">
        <v>-3</v>
      </c>
      <c r="B47" s="191">
        <f t="shared" si="0"/>
        <v>-1.3463968515384828</v>
      </c>
      <c r="C47" s="191">
        <f t="shared" si="1"/>
        <v>0.9441014497826595</v>
      </c>
      <c r="D47" s="192"/>
      <c r="E47" s="193">
        <f t="shared" si="2"/>
        <v>50715</v>
      </c>
      <c r="F47" s="85" t="str">
        <f>_XLL.DEZINHEX((INT(E47)/256),2)</f>
        <v>C6</v>
      </c>
      <c r="G47" s="85" t="str">
        <f>_XLL.DEZINHEX(MOD(E47,256),2)</f>
        <v>1B</v>
      </c>
    </row>
    <row r="48" spans="1:7" ht="12.75">
      <c r="A48" s="190">
        <v>-2</v>
      </c>
      <c r="B48" s="191">
        <f t="shared" si="0"/>
        <v>-0.8975979010256552</v>
      </c>
      <c r="C48" s="191">
        <f t="shared" si="1"/>
        <v>1.0910264156975602</v>
      </c>
      <c r="D48" s="192"/>
      <c r="E48" s="193">
        <f t="shared" si="2"/>
        <v>58607</v>
      </c>
      <c r="F48" s="85" t="str">
        <f>_XLL.DEZINHEX((INT(E48)/256),2)</f>
        <v>E4</v>
      </c>
      <c r="G48" s="85" t="str">
        <f>_XLL.DEZINHEX(MOD(E48,256),2)</f>
        <v>EF</v>
      </c>
    </row>
    <row r="49" spans="1:7" ht="12.75">
      <c r="A49" s="190">
        <v>-1</v>
      </c>
      <c r="B49" s="191">
        <f t="shared" si="0"/>
        <v>-0.4487989505128276</v>
      </c>
      <c r="C49" s="191">
        <f t="shared" si="1"/>
        <v>1.1867663853085522</v>
      </c>
      <c r="D49" s="192"/>
      <c r="E49" s="193">
        <f t="shared" si="2"/>
        <v>63750</v>
      </c>
      <c r="F49" s="85" t="str">
        <f>_XLL.DEZINHEX((INT(E49)/256),2)</f>
        <v>F9</v>
      </c>
      <c r="G49" s="85" t="str">
        <f>_XLL.DEZINHEX(MOD(E49,256),2)</f>
        <v>06</v>
      </c>
    </row>
    <row r="50" spans="1:7" ht="12.75">
      <c r="A50" s="190">
        <v>0</v>
      </c>
      <c r="B50" s="194">
        <f>2*PI()*(A50)/$C$1</f>
        <v>0</v>
      </c>
      <c r="C50" s="194">
        <f>0.99999+C9</f>
        <v>1.1964103320656452</v>
      </c>
      <c r="D50" s="195"/>
      <c r="E50" s="196">
        <f t="shared" si="2"/>
        <v>64268</v>
      </c>
      <c r="F50" s="197" t="str">
        <f>_XLL.DEZINHEX((INT(E50)/256),2)</f>
        <v>FB</v>
      </c>
      <c r="G50" s="197" t="str">
        <f>_XLL.DEZINHEX(MOD(E50,256),2)</f>
        <v>0C</v>
      </c>
    </row>
    <row r="51" spans="1:7" ht="12.75">
      <c r="A51" s="190"/>
      <c r="B51" s="89"/>
      <c r="C51" s="89"/>
      <c r="D51" s="192"/>
      <c r="E51" s="193"/>
      <c r="F51" s="193"/>
      <c r="G51" s="193"/>
    </row>
    <row r="52" spans="1:7" ht="12.75">
      <c r="A52" s="190"/>
      <c r="B52" s="89"/>
      <c r="C52" s="89"/>
      <c r="D52" s="192"/>
      <c r="E52" s="193"/>
      <c r="F52" s="193"/>
      <c r="G52" s="193"/>
    </row>
    <row r="53" spans="1:7" ht="12.75">
      <c r="A53" s="190"/>
      <c r="B53" s="89"/>
      <c r="C53" s="89"/>
      <c r="D53" s="192"/>
      <c r="E53" s="193"/>
      <c r="F53" s="193"/>
      <c r="G53" s="193"/>
    </row>
    <row r="54" spans="1:7" ht="12.75">
      <c r="A54" s="190"/>
      <c r="B54" s="89"/>
      <c r="C54" s="89"/>
      <c r="D54" s="192"/>
      <c r="E54" s="193"/>
      <c r="F54" s="193"/>
      <c r="G54" s="193"/>
    </row>
    <row r="55" spans="1:7" ht="12.75">
      <c r="A55" s="190"/>
      <c r="B55" s="89"/>
      <c r="C55" s="89"/>
      <c r="D55" s="192"/>
      <c r="E55" s="193"/>
      <c r="F55" s="193"/>
      <c r="G55" s="193"/>
    </row>
    <row r="56" spans="1:7" ht="12.75">
      <c r="A56" s="190"/>
      <c r="B56" s="89"/>
      <c r="C56" s="89"/>
      <c r="D56" s="192"/>
      <c r="E56" s="193"/>
      <c r="F56" s="193"/>
      <c r="G56" s="193"/>
    </row>
    <row r="57" spans="1:7" ht="12.75">
      <c r="A57" s="190"/>
      <c r="B57" s="89"/>
      <c r="C57" s="89"/>
      <c r="D57" s="192"/>
      <c r="E57" s="193"/>
      <c r="F57" s="193"/>
      <c r="G57" s="193"/>
    </row>
    <row r="58" spans="1:7" ht="12.75">
      <c r="A58" s="190"/>
      <c r="B58" s="89"/>
      <c r="C58" s="89"/>
      <c r="D58" s="192"/>
      <c r="E58" s="193"/>
      <c r="F58" s="193"/>
      <c r="G58" s="193"/>
    </row>
    <row r="59" spans="1:7" ht="12.75">
      <c r="A59" s="190"/>
      <c r="B59" s="89"/>
      <c r="C59" s="89"/>
      <c r="D59" s="192"/>
      <c r="E59" s="193"/>
      <c r="F59" s="193"/>
      <c r="G59" s="193"/>
    </row>
    <row r="60" spans="1:7" ht="12.75">
      <c r="A60" s="190"/>
      <c r="B60" s="89"/>
      <c r="C60" s="89"/>
      <c r="D60" s="192"/>
      <c r="E60" s="193"/>
      <c r="F60" s="193"/>
      <c r="G60" s="193"/>
    </row>
    <row r="61" spans="1:7" ht="12.75">
      <c r="A61" s="190"/>
      <c r="B61" s="89"/>
      <c r="C61" s="89"/>
      <c r="D61" s="192"/>
      <c r="E61" s="193"/>
      <c r="F61" s="193"/>
      <c r="G61" s="193"/>
    </row>
    <row r="62" spans="1:7" ht="12.75">
      <c r="A62" s="190"/>
      <c r="B62" s="89"/>
      <c r="C62" s="89"/>
      <c r="D62" s="192"/>
      <c r="E62" s="193"/>
      <c r="F62" s="193"/>
      <c r="G62" s="193"/>
    </row>
    <row r="63" spans="1:7" ht="12.75">
      <c r="A63" s="190"/>
      <c r="B63" s="89"/>
      <c r="C63" s="89"/>
      <c r="D63" s="192"/>
      <c r="E63" s="193"/>
      <c r="F63" s="193"/>
      <c r="G63" s="193"/>
    </row>
    <row r="64" spans="1:7" ht="12.75">
      <c r="A64" s="190"/>
      <c r="B64" s="89"/>
      <c r="C64" s="89"/>
      <c r="D64" s="192"/>
      <c r="E64" s="193"/>
      <c r="F64" s="193"/>
      <c r="G64" s="193"/>
    </row>
    <row r="65" spans="1:7" ht="12.75">
      <c r="A65" s="190"/>
      <c r="B65" s="89"/>
      <c r="C65" s="89"/>
      <c r="D65" s="192"/>
      <c r="E65" s="193"/>
      <c r="F65" s="193"/>
      <c r="G65" s="193"/>
    </row>
    <row r="66" spans="1:7" ht="12.75">
      <c r="A66" s="190"/>
      <c r="B66" s="89"/>
      <c r="C66" s="89"/>
      <c r="D66" s="192"/>
      <c r="E66" s="193"/>
      <c r="F66" s="193"/>
      <c r="G66" s="193"/>
    </row>
    <row r="67" spans="1:7" ht="12.75">
      <c r="A67" s="190"/>
      <c r="B67" s="89"/>
      <c r="C67" s="89"/>
      <c r="D67" s="192"/>
      <c r="E67" s="193"/>
      <c r="F67" s="193"/>
      <c r="G67" s="193"/>
    </row>
    <row r="68" spans="1:7" ht="12.75">
      <c r="A68" s="190"/>
      <c r="B68" s="89"/>
      <c r="C68" s="89"/>
      <c r="D68" s="192"/>
      <c r="E68" s="193"/>
      <c r="F68" s="193"/>
      <c r="G68" s="193"/>
    </row>
    <row r="69" spans="1:7" ht="12.75">
      <c r="A69" s="190"/>
      <c r="B69" s="89"/>
      <c r="C69" s="89"/>
      <c r="D69" s="192"/>
      <c r="E69" s="193"/>
      <c r="F69" s="193"/>
      <c r="G69" s="193"/>
    </row>
    <row r="70" spans="1:7" ht="12.75">
      <c r="A70" s="190"/>
      <c r="B70" s="89"/>
      <c r="C70" s="89"/>
      <c r="D70" s="192"/>
      <c r="E70" s="193"/>
      <c r="F70" s="193"/>
      <c r="G70" s="193"/>
    </row>
    <row r="71" spans="1:7" ht="12.75">
      <c r="A71" s="190"/>
      <c r="B71" s="89"/>
      <c r="C71" s="89"/>
      <c r="D71" s="192"/>
      <c r="E71" s="193"/>
      <c r="F71" s="193"/>
      <c r="G71" s="193"/>
    </row>
    <row r="72" spans="1:7" ht="12.75">
      <c r="A72" s="190"/>
      <c r="B72" s="89"/>
      <c r="C72" s="89"/>
      <c r="D72" s="192"/>
      <c r="E72" s="193"/>
      <c r="F72" s="193"/>
      <c r="G72" s="193"/>
    </row>
    <row r="73" spans="1:7" ht="12.75">
      <c r="A73" s="190"/>
      <c r="B73" s="89"/>
      <c r="C73" s="89"/>
      <c r="D73" s="192"/>
      <c r="E73" s="193"/>
      <c r="F73" s="193"/>
      <c r="G73" s="193"/>
    </row>
    <row r="74" spans="1:7" ht="12.75">
      <c r="A74" s="190"/>
      <c r="B74" s="89"/>
      <c r="C74" s="89"/>
      <c r="D74" s="192"/>
      <c r="E74" s="193"/>
      <c r="F74" s="193"/>
      <c r="G74" s="193"/>
    </row>
    <row r="75" spans="1:7" ht="12.75">
      <c r="A75" s="190"/>
      <c r="B75" s="89"/>
      <c r="C75" s="89"/>
      <c r="D75" s="192"/>
      <c r="E75" s="193"/>
      <c r="F75" s="193"/>
      <c r="G75" s="193"/>
    </row>
    <row r="76" spans="1:7" ht="12.75">
      <c r="A76" s="190"/>
      <c r="B76" s="89"/>
      <c r="C76" s="89"/>
      <c r="D76" s="192"/>
      <c r="E76" s="193"/>
      <c r="F76" s="193"/>
      <c r="G76" s="193"/>
    </row>
    <row r="77" spans="1:7" ht="12.75">
      <c r="A77" s="190"/>
      <c r="B77" s="89"/>
      <c r="C77" s="89"/>
      <c r="D77" s="192"/>
      <c r="E77" s="193"/>
      <c r="F77" s="193"/>
      <c r="G77" s="193"/>
    </row>
    <row r="78" spans="1:7" ht="12.75">
      <c r="A78" s="190"/>
      <c r="B78" s="89"/>
      <c r="C78" s="89"/>
      <c r="D78" s="192"/>
      <c r="E78" s="193"/>
      <c r="F78" s="193"/>
      <c r="G78" s="193"/>
    </row>
    <row r="79" spans="1:7" ht="12.75">
      <c r="A79" s="190"/>
      <c r="B79" s="89"/>
      <c r="C79" s="89"/>
      <c r="D79" s="192"/>
      <c r="E79" s="193"/>
      <c r="F79" s="193"/>
      <c r="G79" s="193"/>
    </row>
    <row r="80" spans="1:7" ht="12.75">
      <c r="A80" s="190"/>
      <c r="B80" s="89"/>
      <c r="C80" s="89"/>
      <c r="D80" s="192"/>
      <c r="E80" s="193"/>
      <c r="F80" s="193"/>
      <c r="G80" s="193"/>
    </row>
    <row r="81" spans="1:7" ht="12.75">
      <c r="A81" s="190"/>
      <c r="B81" s="89"/>
      <c r="C81" s="89"/>
      <c r="D81" s="192"/>
      <c r="E81" s="193"/>
      <c r="F81" s="193"/>
      <c r="G81" s="193"/>
    </row>
    <row r="82" spans="1:7" ht="12.75">
      <c r="A82" s="190"/>
      <c r="B82" s="89"/>
      <c r="C82" s="89"/>
      <c r="D82" s="192"/>
      <c r="E82" s="193"/>
      <c r="F82" s="193"/>
      <c r="G82" s="193"/>
    </row>
    <row r="83" spans="1:7" ht="12.75">
      <c r="A83" s="190"/>
      <c r="B83" s="89"/>
      <c r="C83" s="89"/>
      <c r="D83" s="192"/>
      <c r="E83" s="193"/>
      <c r="F83" s="193"/>
      <c r="G83" s="193"/>
    </row>
    <row r="84" spans="1:7" ht="12.75">
      <c r="A84" s="190"/>
      <c r="B84" s="89"/>
      <c r="C84" s="89"/>
      <c r="D84" s="192"/>
      <c r="E84" s="193"/>
      <c r="F84" s="193"/>
      <c r="G84" s="193"/>
    </row>
    <row r="85" spans="1:7" ht="12.75">
      <c r="A85" s="190"/>
      <c r="B85" s="89"/>
      <c r="C85" s="89"/>
      <c r="D85" s="192"/>
      <c r="E85" s="193"/>
      <c r="F85" s="193"/>
      <c r="G85" s="193"/>
    </row>
    <row r="86" spans="1:7" ht="12.75">
      <c r="A86" s="190"/>
      <c r="B86" s="89"/>
      <c r="C86" s="89"/>
      <c r="D86" s="192"/>
      <c r="E86" s="193"/>
      <c r="F86" s="193"/>
      <c r="G86" s="193"/>
    </row>
    <row r="87" spans="1:7" ht="12.75">
      <c r="A87" s="190"/>
      <c r="B87" s="89"/>
      <c r="C87" s="89"/>
      <c r="D87" s="192"/>
      <c r="E87" s="193"/>
      <c r="F87" s="193"/>
      <c r="G87" s="193"/>
    </row>
    <row r="88" spans="1:7" ht="12.75">
      <c r="A88" s="190"/>
      <c r="B88" s="89"/>
      <c r="C88" s="89"/>
      <c r="D88" s="192"/>
      <c r="E88" s="193"/>
      <c r="F88" s="193"/>
      <c r="G88" s="193"/>
    </row>
    <row r="89" spans="1:7" ht="12.75">
      <c r="A89" s="190"/>
      <c r="B89" s="89"/>
      <c r="C89" s="89"/>
      <c r="D89" s="192"/>
      <c r="E89" s="193"/>
      <c r="F89" s="193"/>
      <c r="G89" s="193"/>
    </row>
    <row r="90" spans="1:7" ht="12.75">
      <c r="A90" s="190"/>
      <c r="B90" s="89"/>
      <c r="C90" s="89"/>
      <c r="D90" s="192"/>
      <c r="E90" s="193"/>
      <c r="F90" s="193"/>
      <c r="G90" s="193"/>
    </row>
    <row r="91" spans="1:7" ht="12.75">
      <c r="A91" s="190"/>
      <c r="B91" s="89"/>
      <c r="C91" s="89"/>
      <c r="D91" s="192"/>
      <c r="E91" s="193"/>
      <c r="F91" s="193"/>
      <c r="G91" s="193"/>
    </row>
    <row r="92" spans="1:7" ht="12.75">
      <c r="A92" s="190"/>
      <c r="B92" s="89"/>
      <c r="C92" s="89"/>
      <c r="D92" s="192"/>
      <c r="E92" s="193"/>
      <c r="F92" s="193"/>
      <c r="G92" s="193"/>
    </row>
    <row r="93" spans="1:7" ht="12.75">
      <c r="A93" s="190"/>
      <c r="B93" s="89"/>
      <c r="C93" s="89"/>
      <c r="D93" s="192"/>
      <c r="E93" s="193"/>
      <c r="F93" s="193"/>
      <c r="G93" s="193"/>
    </row>
    <row r="94" spans="1:7" ht="12.75">
      <c r="A94" s="190"/>
      <c r="B94" s="89"/>
      <c r="C94" s="89"/>
      <c r="D94" s="192"/>
      <c r="E94" s="193"/>
      <c r="F94" s="193"/>
      <c r="G94" s="193"/>
    </row>
    <row r="95" spans="1:7" ht="12.75">
      <c r="A95" s="190"/>
      <c r="B95" s="89"/>
      <c r="C95" s="89"/>
      <c r="D95" s="192"/>
      <c r="E95" s="193"/>
      <c r="F95" s="193"/>
      <c r="G95" s="193"/>
    </row>
    <row r="96" spans="1:7" ht="12.75">
      <c r="A96" s="190"/>
      <c r="B96" s="89"/>
      <c r="C96" s="89"/>
      <c r="D96" s="192"/>
      <c r="E96" s="193"/>
      <c r="F96" s="193"/>
      <c r="G96" s="193"/>
    </row>
    <row r="97" spans="1:7" ht="12.75">
      <c r="A97" s="190"/>
      <c r="B97" s="89"/>
      <c r="C97" s="89"/>
      <c r="D97" s="192"/>
      <c r="E97" s="193"/>
      <c r="F97" s="193"/>
      <c r="G97" s="193"/>
    </row>
    <row r="98" spans="1:7" ht="12.75">
      <c r="A98" s="190"/>
      <c r="B98" s="89"/>
      <c r="C98" s="89"/>
      <c r="D98" s="192"/>
      <c r="E98" s="193"/>
      <c r="F98" s="193"/>
      <c r="G98" s="193"/>
    </row>
    <row r="99" spans="1:7" ht="12.75">
      <c r="A99" s="190"/>
      <c r="B99" s="89"/>
      <c r="C99" s="89"/>
      <c r="D99" s="192"/>
      <c r="E99" s="193"/>
      <c r="F99" s="193"/>
      <c r="G99" s="193"/>
    </row>
    <row r="100" spans="1:3" ht="12.75">
      <c r="A100" s="190"/>
      <c r="B100" s="89"/>
      <c r="C100" s="89"/>
    </row>
    <row r="101" spans="1:3" ht="12.75">
      <c r="A101" s="190"/>
      <c r="B101" s="89"/>
      <c r="C101" s="89"/>
    </row>
    <row r="102" spans="1:3" ht="12.75">
      <c r="A102" s="190"/>
      <c r="B102" s="89"/>
      <c r="C102" s="89"/>
    </row>
    <row r="103" spans="1:3" ht="12.75">
      <c r="A103" s="190"/>
      <c r="B103" s="89"/>
      <c r="C103" s="89"/>
    </row>
    <row r="104" spans="1:3" ht="12.75">
      <c r="A104" s="190"/>
      <c r="B104" s="89"/>
      <c r="C104" s="89"/>
    </row>
    <row r="105" spans="1:3" ht="12.75">
      <c r="A105" s="190"/>
      <c r="B105" s="89"/>
      <c r="C105" s="89"/>
    </row>
    <row r="106" spans="1:3" ht="12.75">
      <c r="A106" s="190"/>
      <c r="B106" s="89"/>
      <c r="C106" s="89"/>
    </row>
    <row r="107" spans="1:3" ht="12.75">
      <c r="A107" s="190"/>
      <c r="B107" s="89"/>
      <c r="C107" s="89"/>
    </row>
    <row r="108" spans="1:3" ht="12.75">
      <c r="A108" s="190"/>
      <c r="B108" s="89"/>
      <c r="C108" s="89"/>
    </row>
    <row r="109" spans="1:3" ht="12.75">
      <c r="A109" s="190"/>
      <c r="B109" s="89"/>
      <c r="C109" s="89"/>
    </row>
    <row r="110" spans="1:3" ht="12.75">
      <c r="A110" s="190"/>
      <c r="B110" s="89"/>
      <c r="C110" s="89"/>
    </row>
    <row r="111" spans="1:3" ht="12.75">
      <c r="A111" s="190"/>
      <c r="B111" s="89"/>
      <c r="C111" s="89"/>
    </row>
    <row r="112" spans="1:3" ht="12.75">
      <c r="A112" s="190"/>
      <c r="B112" s="89"/>
      <c r="C112" s="89"/>
    </row>
    <row r="113" spans="1:3" ht="12.75">
      <c r="A113" s="190"/>
      <c r="B113" s="89"/>
      <c r="C113" s="89"/>
    </row>
    <row r="114" ht="12.75">
      <c r="A114" s="190"/>
    </row>
    <row r="115" ht="12.75">
      <c r="A115" s="190"/>
    </row>
    <row r="116" ht="12.75">
      <c r="A116" s="190"/>
    </row>
    <row r="117" ht="12.75">
      <c r="A117" s="190"/>
    </row>
    <row r="118" ht="12.75">
      <c r="A118" s="190"/>
    </row>
    <row r="119" ht="12.75">
      <c r="A119" s="190"/>
    </row>
    <row r="120" ht="12.75">
      <c r="A120" s="190"/>
    </row>
    <row r="121" ht="12.75">
      <c r="A121" s="190"/>
    </row>
    <row r="122" ht="12.75">
      <c r="A122" s="190"/>
    </row>
    <row r="123" ht="12.75">
      <c r="A123" s="190"/>
    </row>
    <row r="124" ht="12.75">
      <c r="A124" s="190"/>
    </row>
    <row r="125" ht="12.75">
      <c r="A125" s="190"/>
    </row>
    <row r="126" ht="12.75">
      <c r="A126" s="190"/>
    </row>
    <row r="127" ht="12.75">
      <c r="A127" s="190"/>
    </row>
    <row r="128" ht="12.75">
      <c r="A128" s="190"/>
    </row>
    <row r="129" ht="12.75">
      <c r="A129" s="190"/>
    </row>
    <row r="130" ht="12.75">
      <c r="A130" s="190"/>
    </row>
    <row r="131" ht="12.75">
      <c r="A131" s="190"/>
    </row>
    <row r="132" ht="12.75">
      <c r="A132" s="190"/>
    </row>
    <row r="133" ht="12.75">
      <c r="A133" s="190"/>
    </row>
    <row r="134" ht="12.75">
      <c r="A134" s="190"/>
    </row>
    <row r="135" ht="12.75">
      <c r="A135" s="190"/>
    </row>
    <row r="136" ht="12.75">
      <c r="A136" s="190"/>
    </row>
    <row r="137" ht="12.75">
      <c r="A137" s="190"/>
    </row>
    <row r="138" ht="12.75">
      <c r="A138" s="190"/>
    </row>
    <row r="139" ht="12.75">
      <c r="A139" s="190"/>
    </row>
    <row r="140" ht="12.75">
      <c r="A140" s="190"/>
    </row>
    <row r="141" ht="12.75">
      <c r="A141" s="190"/>
    </row>
    <row r="142" ht="12.75">
      <c r="A142" s="190"/>
    </row>
    <row r="143" ht="12.75">
      <c r="A143" s="190"/>
    </row>
    <row r="144" ht="12.75">
      <c r="A144" s="190"/>
    </row>
    <row r="145" ht="12.75">
      <c r="A145" s="190"/>
    </row>
    <row r="146" ht="12.75">
      <c r="A146" s="190"/>
    </row>
    <row r="147" ht="12.75">
      <c r="A147" s="190"/>
    </row>
    <row r="148" ht="12.75">
      <c r="A148" s="190"/>
    </row>
    <row r="149" ht="12.75">
      <c r="A149" s="190"/>
    </row>
    <row r="150" ht="12.75">
      <c r="A150" s="190"/>
    </row>
    <row r="151" ht="12.75">
      <c r="A151" s="190"/>
    </row>
    <row r="152" ht="12.75">
      <c r="A152" s="190"/>
    </row>
    <row r="153" ht="12.75">
      <c r="A153" s="190"/>
    </row>
    <row r="154" ht="12.75">
      <c r="A154" s="190"/>
    </row>
    <row r="155" ht="12.75">
      <c r="A155" s="190"/>
    </row>
    <row r="156" ht="12.75">
      <c r="A156" s="190"/>
    </row>
    <row r="157" ht="12.75">
      <c r="A157" s="190"/>
    </row>
    <row r="158" ht="12.75">
      <c r="A158" s="190"/>
    </row>
    <row r="159" ht="12.75">
      <c r="A159" s="190"/>
    </row>
    <row r="160" ht="12.75">
      <c r="A160" s="190"/>
    </row>
    <row r="161" ht="12.75">
      <c r="A161" s="190"/>
    </row>
    <row r="162" ht="12.75">
      <c r="A162" s="190"/>
    </row>
    <row r="163" ht="12.75">
      <c r="A163" s="190"/>
    </row>
    <row r="164" ht="12.75">
      <c r="A164" s="190"/>
    </row>
    <row r="165" ht="12.75">
      <c r="A165" s="190"/>
    </row>
    <row r="166" ht="12.75">
      <c r="A166" s="190"/>
    </row>
    <row r="167" ht="12.75">
      <c r="A167" s="190"/>
    </row>
    <row r="168" ht="12.75">
      <c r="A168" s="190"/>
    </row>
    <row r="169" ht="12.75">
      <c r="A169" s="190"/>
    </row>
    <row r="170" ht="12.75">
      <c r="A170" s="190"/>
    </row>
    <row r="171" ht="12.75">
      <c r="A171" s="190"/>
    </row>
    <row r="172" ht="12.75">
      <c r="A172" s="190"/>
    </row>
    <row r="173" ht="12.75">
      <c r="A173" s="190"/>
    </row>
    <row r="174" ht="12.75">
      <c r="A174" s="190"/>
    </row>
    <row r="175" ht="12.75">
      <c r="A175" s="190"/>
    </row>
    <row r="176" ht="12.75">
      <c r="A176" s="190"/>
    </row>
    <row r="177" ht="12.75">
      <c r="A177" s="190"/>
    </row>
    <row r="178" ht="12.75">
      <c r="A178" s="190"/>
    </row>
  </sheetData>
  <mergeCells count="2">
    <mergeCell ref="A1:B1"/>
    <mergeCell ref="A2:B2"/>
  </mergeCell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66" r:id="rId2"/>
  <headerFooter alignWithMargins="0">
    <oddHeader>&amp;L&amp;F    &amp;A&amp;R&amp;D</oddHeader>
    <oddFooter>&amp;R&amp;P  / 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29"/>
  <sheetViews>
    <sheetView workbookViewId="0" topLeftCell="A1">
      <selection activeCell="C30" sqref="C30"/>
    </sheetView>
  </sheetViews>
  <sheetFormatPr defaultColWidth="11.421875" defaultRowHeight="12.75"/>
  <cols>
    <col min="1" max="3" width="11.421875" style="83" customWidth="1"/>
  </cols>
  <sheetData>
    <row r="1" spans="1:3" ht="12.75">
      <c r="A1" s="83" t="s">
        <v>367</v>
      </c>
      <c r="B1" s="83" t="s">
        <v>368</v>
      </c>
      <c r="C1" s="83" t="s">
        <v>369</v>
      </c>
    </row>
    <row r="2" spans="1:3" ht="12.75">
      <c r="A2" s="83">
        <v>889</v>
      </c>
      <c r="B2" s="83">
        <v>1</v>
      </c>
      <c r="C2" s="83">
        <v>1</v>
      </c>
    </row>
    <row r="3" spans="1:4" ht="12.75">
      <c r="A3" s="83">
        <v>1778</v>
      </c>
      <c r="B3" s="91">
        <v>0</v>
      </c>
      <c r="C3" s="83">
        <v>1</v>
      </c>
      <c r="D3" t="s">
        <v>370</v>
      </c>
    </row>
    <row r="4" spans="1:3" ht="12.75">
      <c r="A4" s="83">
        <v>2667</v>
      </c>
      <c r="B4" s="83">
        <v>1</v>
      </c>
      <c r="C4" s="83">
        <v>1</v>
      </c>
    </row>
    <row r="5" spans="1:4" ht="12.75">
      <c r="A5" s="83">
        <v>3556</v>
      </c>
      <c r="B5" s="91">
        <v>0</v>
      </c>
      <c r="C5" s="83">
        <v>1</v>
      </c>
      <c r="D5" t="s">
        <v>371</v>
      </c>
    </row>
    <row r="6" spans="1:3" ht="12.75">
      <c r="A6" s="83">
        <v>4445</v>
      </c>
      <c r="B6" s="83">
        <v>1</v>
      </c>
      <c r="C6" s="83">
        <v>1</v>
      </c>
    </row>
    <row r="7" spans="1:4" ht="12.75">
      <c r="A7" s="83">
        <v>5334</v>
      </c>
      <c r="B7" s="91">
        <v>0</v>
      </c>
      <c r="C7" s="83">
        <v>1</v>
      </c>
      <c r="D7" t="s">
        <v>372</v>
      </c>
    </row>
    <row r="8" spans="1:3" ht="12.75">
      <c r="A8" s="83">
        <v>6223</v>
      </c>
      <c r="B8" s="83">
        <v>0</v>
      </c>
      <c r="C8" s="83">
        <v>1</v>
      </c>
    </row>
    <row r="9" spans="1:4" ht="12.75">
      <c r="A9" s="83">
        <v>7112</v>
      </c>
      <c r="B9" s="91">
        <v>1</v>
      </c>
      <c r="C9" s="83">
        <v>1</v>
      </c>
      <c r="D9" t="s">
        <v>373</v>
      </c>
    </row>
    <row r="10" spans="1:3" ht="12.75">
      <c r="A10" s="83">
        <v>8001</v>
      </c>
      <c r="B10" s="83">
        <v>0</v>
      </c>
      <c r="C10" s="83">
        <v>1</v>
      </c>
    </row>
    <row r="11" spans="1:4" ht="12.75">
      <c r="A11" s="83">
        <v>8890</v>
      </c>
      <c r="B11" s="91">
        <v>1</v>
      </c>
      <c r="C11" s="83">
        <v>1</v>
      </c>
      <c r="D11" t="s">
        <v>373</v>
      </c>
    </row>
    <row r="12" spans="1:3" ht="12.75">
      <c r="A12" s="83">
        <v>9779</v>
      </c>
      <c r="B12" s="83">
        <v>0</v>
      </c>
      <c r="C12" s="83">
        <v>1</v>
      </c>
    </row>
    <row r="13" spans="1:7" ht="12.75">
      <c r="A13" s="83">
        <v>10668</v>
      </c>
      <c r="B13" s="91">
        <v>1</v>
      </c>
      <c r="C13" s="83">
        <v>1</v>
      </c>
      <c r="D13" t="s">
        <v>373</v>
      </c>
      <c r="F13" t="s">
        <v>374</v>
      </c>
      <c r="G13" t="s">
        <v>375</v>
      </c>
    </row>
    <row r="14" spans="1:10" ht="12.75">
      <c r="A14" s="83">
        <v>11557</v>
      </c>
      <c r="B14" s="83">
        <v>0</v>
      </c>
      <c r="C14" s="83">
        <v>1</v>
      </c>
      <c r="F14" s="102">
        <v>44</v>
      </c>
      <c r="G14" s="103" t="str">
        <f>INDEX(I14:I29,J14+1,0)&amp;INDEX(I14:I29,J15+1,0)</f>
        <v>2C</v>
      </c>
      <c r="I14" s="104" t="s">
        <v>376</v>
      </c>
      <c r="J14" s="105">
        <f>INT(F14/16)</f>
        <v>2</v>
      </c>
    </row>
    <row r="15" spans="1:10" ht="12.75">
      <c r="A15" s="83">
        <v>12446</v>
      </c>
      <c r="B15" s="91">
        <v>1</v>
      </c>
      <c r="C15" s="83">
        <v>1</v>
      </c>
      <c r="D15" t="s">
        <v>373</v>
      </c>
      <c r="I15" s="104" t="s">
        <v>377</v>
      </c>
      <c r="J15" s="105">
        <f>F14-J14*16</f>
        <v>12</v>
      </c>
    </row>
    <row r="16" spans="1:9" ht="12.75">
      <c r="A16" s="83">
        <v>13335</v>
      </c>
      <c r="B16" s="83">
        <v>0</v>
      </c>
      <c r="C16" s="83">
        <v>1</v>
      </c>
      <c r="I16" s="104" t="s">
        <v>378</v>
      </c>
    </row>
    <row r="17" spans="1:9" ht="13.5" thickBot="1">
      <c r="A17" s="83">
        <v>14224</v>
      </c>
      <c r="B17" s="91">
        <v>1</v>
      </c>
      <c r="C17" s="83">
        <v>1</v>
      </c>
      <c r="D17" t="s">
        <v>373</v>
      </c>
      <c r="G17" s="83">
        <v>0</v>
      </c>
      <c r="H17" s="83">
        <v>8</v>
      </c>
      <c r="I17" s="104" t="s">
        <v>379</v>
      </c>
    </row>
    <row r="18" spans="1:9" ht="13.5" thickBot="1">
      <c r="A18" s="83">
        <v>15113</v>
      </c>
      <c r="B18" s="106">
        <f>IF(G19=0,1,0)</f>
        <v>0</v>
      </c>
      <c r="C18" s="83">
        <v>1</v>
      </c>
      <c r="G18" s="83">
        <v>0</v>
      </c>
      <c r="H18" s="83">
        <v>4</v>
      </c>
      <c r="I18" s="104" t="s">
        <v>380</v>
      </c>
    </row>
    <row r="19" spans="1:9" ht="13.5" thickBot="1">
      <c r="A19" s="83">
        <v>16002</v>
      </c>
      <c r="B19" s="107">
        <f>IF(G19=0,0,1)</f>
        <v>1</v>
      </c>
      <c r="C19" s="83">
        <v>1</v>
      </c>
      <c r="G19" s="108">
        <v>1</v>
      </c>
      <c r="H19" s="109">
        <v>2</v>
      </c>
      <c r="I19" s="104" t="s">
        <v>381</v>
      </c>
    </row>
    <row r="20" spans="1:9" ht="12.75">
      <c r="A20" s="83">
        <v>16891</v>
      </c>
      <c r="B20" s="106">
        <f>IF(G20=0,1,0)</f>
        <v>1</v>
      </c>
      <c r="C20" s="83">
        <v>1</v>
      </c>
      <c r="G20" s="110">
        <v>0</v>
      </c>
      <c r="H20" s="111">
        <v>1</v>
      </c>
      <c r="I20" s="104" t="s">
        <v>382</v>
      </c>
    </row>
    <row r="21" spans="1:9" ht="13.5" thickBot="1">
      <c r="A21" s="83">
        <v>17780</v>
      </c>
      <c r="B21" s="107">
        <f>IF(G20=0,0,1)</f>
        <v>0</v>
      </c>
      <c r="C21" s="83">
        <v>1</v>
      </c>
      <c r="G21" s="110">
        <v>1</v>
      </c>
      <c r="H21" s="111">
        <v>8</v>
      </c>
      <c r="I21" s="104" t="s">
        <v>383</v>
      </c>
    </row>
    <row r="22" spans="1:9" ht="12.75">
      <c r="A22" s="83">
        <v>18669</v>
      </c>
      <c r="B22" s="106">
        <f>IF(G21=0,1,0)</f>
        <v>0</v>
      </c>
      <c r="C22" s="83">
        <v>1</v>
      </c>
      <c r="G22" s="110">
        <v>0</v>
      </c>
      <c r="H22" s="111">
        <v>4</v>
      </c>
      <c r="I22" s="104" t="s">
        <v>384</v>
      </c>
    </row>
    <row r="23" spans="1:9" ht="13.5" thickBot="1">
      <c r="A23" s="83">
        <v>19558</v>
      </c>
      <c r="B23" s="107">
        <f>IF(G21=0,0,1)</f>
        <v>1</v>
      </c>
      <c r="C23" s="83">
        <v>1</v>
      </c>
      <c r="G23" s="110">
        <v>1</v>
      </c>
      <c r="H23" s="111">
        <v>2</v>
      </c>
      <c r="I23" s="104" t="s">
        <v>385</v>
      </c>
    </row>
    <row r="24" spans="1:9" ht="13.5" thickBot="1">
      <c r="A24" s="83">
        <v>20447</v>
      </c>
      <c r="B24" s="106">
        <f>IF(G22=0,1,0)</f>
        <v>1</v>
      </c>
      <c r="C24" s="83">
        <v>1</v>
      </c>
      <c r="G24" s="112">
        <v>0</v>
      </c>
      <c r="H24" s="113">
        <v>1</v>
      </c>
      <c r="I24" s="114" t="s">
        <v>386</v>
      </c>
    </row>
    <row r="25" spans="1:9" ht="13.5" thickBot="1">
      <c r="A25" s="83">
        <v>21336</v>
      </c>
      <c r="B25" s="107">
        <f>IF(G22=0,0,1)</f>
        <v>0</v>
      </c>
      <c r="C25" s="83">
        <v>1</v>
      </c>
      <c r="I25" s="114" t="s">
        <v>387</v>
      </c>
    </row>
    <row r="26" spans="1:9" ht="12.75">
      <c r="A26" s="83">
        <v>22225</v>
      </c>
      <c r="B26" s="106">
        <f>IF(G23=0,1,0)</f>
        <v>0</v>
      </c>
      <c r="C26" s="83">
        <v>1</v>
      </c>
      <c r="I26" s="114" t="s">
        <v>388</v>
      </c>
    </row>
    <row r="27" spans="1:9" ht="13.5" thickBot="1">
      <c r="A27" s="83">
        <v>23114</v>
      </c>
      <c r="B27" s="107">
        <f>IF(G23=0,0,1)</f>
        <v>1</v>
      </c>
      <c r="C27" s="83">
        <v>0</v>
      </c>
      <c r="I27" s="114" t="s">
        <v>389</v>
      </c>
    </row>
    <row r="28" spans="1:9" ht="12.75">
      <c r="A28" s="83">
        <v>24003</v>
      </c>
      <c r="B28" s="106">
        <f>IF(G24=0,1,0)</f>
        <v>1</v>
      </c>
      <c r="C28" s="83">
        <v>0</v>
      </c>
      <c r="I28" s="114" t="s">
        <v>390</v>
      </c>
    </row>
    <row r="29" spans="1:9" ht="13.5" thickBot="1">
      <c r="A29" s="83">
        <v>24892</v>
      </c>
      <c r="B29" s="107">
        <f>IF(G24=0,0,1)</f>
        <v>0</v>
      </c>
      <c r="C29" s="83">
        <v>0</v>
      </c>
      <c r="I29" s="114" t="s">
        <v>391</v>
      </c>
    </row>
  </sheetData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orientation="landscape" paperSize="9" r:id="rId2"/>
  <headerFooter alignWithMargins="0">
    <oddHeader>&amp;L&amp;F    &amp;A&amp;R&amp;D</oddHeader>
    <oddFooter>&amp;R&amp;P  / 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B2:H131"/>
  <sheetViews>
    <sheetView workbookViewId="0" topLeftCell="A1">
      <selection activeCell="D2" sqref="D2:F3"/>
    </sheetView>
  </sheetViews>
  <sheetFormatPr defaultColWidth="11.421875" defaultRowHeight="12.75"/>
  <cols>
    <col min="2" max="2" width="19.57421875" style="0" customWidth="1"/>
    <col min="3" max="3" width="6.28125" style="0" customWidth="1"/>
    <col min="4" max="5" width="6.57421875" style="0" customWidth="1"/>
    <col min="6" max="6" width="13.7109375" style="0" customWidth="1"/>
    <col min="7" max="7" width="34.00390625" style="101" customWidth="1"/>
  </cols>
  <sheetData>
    <row r="2" spans="2:6" ht="12.75">
      <c r="B2" t="s">
        <v>87</v>
      </c>
      <c r="D2" t="s">
        <v>88</v>
      </c>
      <c r="F2" t="s">
        <v>89</v>
      </c>
    </row>
    <row r="3" spans="2:7" ht="12.75">
      <c r="B3" t="s">
        <v>90</v>
      </c>
      <c r="D3" t="s">
        <v>88</v>
      </c>
      <c r="F3" t="s">
        <v>91</v>
      </c>
      <c r="G3" s="101" t="s">
        <v>92</v>
      </c>
    </row>
    <row r="4" spans="2:6" ht="12.75">
      <c r="B4" t="s">
        <v>93</v>
      </c>
      <c r="D4" t="s">
        <v>88</v>
      </c>
      <c r="F4" t="s">
        <v>94</v>
      </c>
    </row>
    <row r="5" spans="2:6" ht="12.75">
      <c r="B5" t="s">
        <v>95</v>
      </c>
      <c r="D5" t="s">
        <v>88</v>
      </c>
      <c r="F5" t="s">
        <v>96</v>
      </c>
    </row>
    <row r="6" spans="2:6" ht="12.75">
      <c r="B6" t="s">
        <v>97</v>
      </c>
      <c r="D6" t="s">
        <v>88</v>
      </c>
      <c r="F6" t="s">
        <v>98</v>
      </c>
    </row>
    <row r="7" spans="2:6" ht="12.75">
      <c r="B7" t="s">
        <v>99</v>
      </c>
      <c r="D7" t="s">
        <v>88</v>
      </c>
      <c r="F7" t="s">
        <v>100</v>
      </c>
    </row>
    <row r="8" spans="2:7" ht="12.75">
      <c r="B8" t="s">
        <v>101</v>
      </c>
      <c r="D8" t="s">
        <v>88</v>
      </c>
      <c r="F8" t="s">
        <v>102</v>
      </c>
      <c r="G8" s="101" t="s">
        <v>103</v>
      </c>
    </row>
    <row r="9" spans="2:6" ht="12.75">
      <c r="B9" t="s">
        <v>104</v>
      </c>
      <c r="D9" t="s">
        <v>88</v>
      </c>
      <c r="F9" t="s">
        <v>105</v>
      </c>
    </row>
    <row r="10" spans="2:6" ht="12.75">
      <c r="B10" t="s">
        <v>106</v>
      </c>
      <c r="D10" t="s">
        <v>88</v>
      </c>
      <c r="F10" t="s">
        <v>107</v>
      </c>
    </row>
    <row r="11" spans="2:6" ht="12.75">
      <c r="B11" t="s">
        <v>108</v>
      </c>
      <c r="D11" t="s">
        <v>88</v>
      </c>
      <c r="F11" t="s">
        <v>109</v>
      </c>
    </row>
    <row r="12" spans="2:7" ht="12.75">
      <c r="B12" t="s">
        <v>110</v>
      </c>
      <c r="D12" t="s">
        <v>88</v>
      </c>
      <c r="F12" t="s">
        <v>111</v>
      </c>
      <c r="G12" s="101" t="s">
        <v>112</v>
      </c>
    </row>
    <row r="13" spans="2:7" ht="12.75">
      <c r="B13" t="s">
        <v>113</v>
      </c>
      <c r="D13" t="s">
        <v>88</v>
      </c>
      <c r="F13" t="s">
        <v>114</v>
      </c>
      <c r="G13" s="101" t="s">
        <v>115</v>
      </c>
    </row>
    <row r="14" spans="2:7" ht="12.75">
      <c r="B14" t="s">
        <v>116</v>
      </c>
      <c r="D14" t="s">
        <v>88</v>
      </c>
      <c r="F14" t="s">
        <v>117</v>
      </c>
      <c r="G14" s="101" t="s">
        <v>118</v>
      </c>
    </row>
    <row r="15" spans="2:7" ht="12.75">
      <c r="B15" t="s">
        <v>119</v>
      </c>
      <c r="D15" t="s">
        <v>88</v>
      </c>
      <c r="F15" t="s">
        <v>120</v>
      </c>
      <c r="G15" s="101" t="s">
        <v>121</v>
      </c>
    </row>
    <row r="16" spans="2:6" ht="12.75">
      <c r="B16" t="s">
        <v>122</v>
      </c>
      <c r="D16" t="s">
        <v>88</v>
      </c>
      <c r="F16" t="s">
        <v>123</v>
      </c>
    </row>
    <row r="17" spans="2:6" ht="12.75">
      <c r="B17" t="s">
        <v>124</v>
      </c>
      <c r="D17" t="s">
        <v>88</v>
      </c>
      <c r="F17" t="s">
        <v>125</v>
      </c>
    </row>
    <row r="18" spans="2:6" ht="12.75">
      <c r="B18" t="s">
        <v>126</v>
      </c>
      <c r="D18" t="s">
        <v>88</v>
      </c>
      <c r="F18" t="s">
        <v>127</v>
      </c>
    </row>
    <row r="19" spans="2:6" ht="12.75">
      <c r="B19" t="s">
        <v>128</v>
      </c>
      <c r="D19" t="s">
        <v>88</v>
      </c>
      <c r="F19" t="s">
        <v>129</v>
      </c>
    </row>
    <row r="20" spans="2:6" ht="12.75">
      <c r="B20" t="s">
        <v>130</v>
      </c>
      <c r="D20" t="s">
        <v>88</v>
      </c>
      <c r="F20" t="s">
        <v>131</v>
      </c>
    </row>
    <row r="21" spans="2:6" ht="12.75">
      <c r="B21" t="s">
        <v>132</v>
      </c>
      <c r="D21" t="s">
        <v>88</v>
      </c>
      <c r="F21" t="s">
        <v>133</v>
      </c>
    </row>
    <row r="22" spans="2:6" ht="12.75">
      <c r="B22" t="s">
        <v>134</v>
      </c>
      <c r="D22" t="s">
        <v>88</v>
      </c>
      <c r="F22" t="s">
        <v>135</v>
      </c>
    </row>
    <row r="23" spans="2:7" ht="12.75">
      <c r="B23" t="s">
        <v>136</v>
      </c>
      <c r="D23" t="s">
        <v>88</v>
      </c>
      <c r="F23" t="s">
        <v>137</v>
      </c>
      <c r="G23" s="101" t="s">
        <v>138</v>
      </c>
    </row>
    <row r="24" spans="2:6" ht="12.75">
      <c r="B24" t="s">
        <v>139</v>
      </c>
      <c r="D24" t="s">
        <v>88</v>
      </c>
      <c r="F24" t="s">
        <v>140</v>
      </c>
    </row>
    <row r="25" spans="2:6" ht="12.75">
      <c r="B25" t="s">
        <v>141</v>
      </c>
      <c r="D25" t="s">
        <v>88</v>
      </c>
      <c r="F25" t="s">
        <v>142</v>
      </c>
    </row>
    <row r="26" spans="2:6" ht="12.75">
      <c r="B26" t="s">
        <v>143</v>
      </c>
      <c r="D26" t="s">
        <v>88</v>
      </c>
      <c r="F26" t="s">
        <v>144</v>
      </c>
    </row>
    <row r="27" spans="2:7" ht="12.75">
      <c r="B27" t="s">
        <v>145</v>
      </c>
      <c r="D27" t="s">
        <v>88</v>
      </c>
      <c r="F27" t="s">
        <v>146</v>
      </c>
      <c r="G27" s="101" t="s">
        <v>147</v>
      </c>
    </row>
    <row r="28" spans="2:6" ht="12.75">
      <c r="B28" t="s">
        <v>148</v>
      </c>
      <c r="D28" t="s">
        <v>88</v>
      </c>
      <c r="F28" t="s">
        <v>149</v>
      </c>
    </row>
    <row r="29" spans="2:6" ht="12.75">
      <c r="B29" t="s">
        <v>150</v>
      </c>
      <c r="D29" t="s">
        <v>88</v>
      </c>
      <c r="F29" t="s">
        <v>151</v>
      </c>
    </row>
    <row r="30" spans="2:6" ht="12.75">
      <c r="B30" t="s">
        <v>152</v>
      </c>
      <c r="D30" t="s">
        <v>88</v>
      </c>
      <c r="F30" t="s">
        <v>153</v>
      </c>
    </row>
    <row r="31" spans="2:6" ht="12.75">
      <c r="B31" t="s">
        <v>154</v>
      </c>
      <c r="D31" t="s">
        <v>88</v>
      </c>
      <c r="F31" t="s">
        <v>155</v>
      </c>
    </row>
    <row r="32" spans="2:6" ht="12.75">
      <c r="B32" t="s">
        <v>156</v>
      </c>
      <c r="D32" t="s">
        <v>88</v>
      </c>
      <c r="F32" t="s">
        <v>157</v>
      </c>
    </row>
    <row r="33" spans="2:6" ht="12.75">
      <c r="B33" t="s">
        <v>158</v>
      </c>
      <c r="D33" t="s">
        <v>88</v>
      </c>
      <c r="F33" t="s">
        <v>159</v>
      </c>
    </row>
    <row r="34" spans="2:6" ht="12.75">
      <c r="B34" t="s">
        <v>160</v>
      </c>
      <c r="D34" t="s">
        <v>88</v>
      </c>
      <c r="F34" t="s">
        <v>161</v>
      </c>
    </row>
    <row r="35" spans="2:6" ht="12.75">
      <c r="B35" t="s">
        <v>162</v>
      </c>
      <c r="D35" t="s">
        <v>88</v>
      </c>
      <c r="F35" t="s">
        <v>163</v>
      </c>
    </row>
    <row r="36" spans="2:6" ht="12.75">
      <c r="B36" t="s">
        <v>164</v>
      </c>
      <c r="D36" t="s">
        <v>88</v>
      </c>
      <c r="F36" t="s">
        <v>165</v>
      </c>
    </row>
    <row r="37" spans="2:6" ht="12.75">
      <c r="B37" t="s">
        <v>166</v>
      </c>
      <c r="D37" t="s">
        <v>88</v>
      </c>
      <c r="F37" t="s">
        <v>167</v>
      </c>
    </row>
    <row r="38" spans="2:6" ht="12.75">
      <c r="B38" t="s">
        <v>168</v>
      </c>
      <c r="D38" t="s">
        <v>88</v>
      </c>
      <c r="F38" t="s">
        <v>169</v>
      </c>
    </row>
    <row r="39" spans="2:6" ht="12.75">
      <c r="B39" t="s">
        <v>170</v>
      </c>
      <c r="D39" t="s">
        <v>88</v>
      </c>
      <c r="F39" t="s">
        <v>171</v>
      </c>
    </row>
    <row r="40" spans="2:6" ht="12.75">
      <c r="B40" t="s">
        <v>172</v>
      </c>
      <c r="D40" t="s">
        <v>88</v>
      </c>
      <c r="F40" t="s">
        <v>173</v>
      </c>
    </row>
    <row r="41" spans="2:7" ht="12.75">
      <c r="B41" t="s">
        <v>174</v>
      </c>
      <c r="D41" t="s">
        <v>88</v>
      </c>
      <c r="F41" t="s">
        <v>175</v>
      </c>
      <c r="G41" t="s">
        <v>176</v>
      </c>
    </row>
    <row r="42" spans="2:6" ht="12.75">
      <c r="B42" t="s">
        <v>177</v>
      </c>
      <c r="D42" t="s">
        <v>88</v>
      </c>
      <c r="F42" t="s">
        <v>178</v>
      </c>
    </row>
    <row r="43" spans="2:6" ht="12.75">
      <c r="B43" t="s">
        <v>179</v>
      </c>
      <c r="D43" t="s">
        <v>88</v>
      </c>
      <c r="F43" t="s">
        <v>180</v>
      </c>
    </row>
    <row r="44" spans="2:6" ht="12.75">
      <c r="B44" t="s">
        <v>181</v>
      </c>
      <c r="D44" t="s">
        <v>88</v>
      </c>
      <c r="F44" t="s">
        <v>182</v>
      </c>
    </row>
    <row r="45" spans="2:6" ht="12.75">
      <c r="B45" t="s">
        <v>183</v>
      </c>
      <c r="D45" t="s">
        <v>88</v>
      </c>
      <c r="F45" t="s">
        <v>184</v>
      </c>
    </row>
    <row r="46" spans="2:6" ht="12.75">
      <c r="B46" t="s">
        <v>185</v>
      </c>
      <c r="D46" t="s">
        <v>88</v>
      </c>
      <c r="F46" t="s">
        <v>186</v>
      </c>
    </row>
    <row r="47" spans="2:6" ht="12.75">
      <c r="B47" t="s">
        <v>187</v>
      </c>
      <c r="D47" t="s">
        <v>88</v>
      </c>
      <c r="F47" t="s">
        <v>188</v>
      </c>
    </row>
    <row r="48" spans="2:6" ht="12.75">
      <c r="B48" t="s">
        <v>189</v>
      </c>
      <c r="D48" t="s">
        <v>88</v>
      </c>
      <c r="F48" t="s">
        <v>190</v>
      </c>
    </row>
    <row r="49" spans="2:6" ht="12.75">
      <c r="B49" t="s">
        <v>191</v>
      </c>
      <c r="D49" t="s">
        <v>88</v>
      </c>
      <c r="F49" t="s">
        <v>192</v>
      </c>
    </row>
    <row r="50" spans="2:6" ht="12.75">
      <c r="B50" t="s">
        <v>193</v>
      </c>
      <c r="D50" t="s">
        <v>88</v>
      </c>
      <c r="F50" t="s">
        <v>194</v>
      </c>
    </row>
    <row r="51" spans="2:7" ht="12.75">
      <c r="B51" t="s">
        <v>195</v>
      </c>
      <c r="D51" t="s">
        <v>88</v>
      </c>
      <c r="F51" t="s">
        <v>196</v>
      </c>
      <c r="G51" t="s">
        <v>197</v>
      </c>
    </row>
    <row r="52" spans="2:6" ht="12.75">
      <c r="B52" t="s">
        <v>198</v>
      </c>
      <c r="D52" t="s">
        <v>88</v>
      </c>
      <c r="F52" t="s">
        <v>199</v>
      </c>
    </row>
    <row r="54" spans="2:7" ht="12.75">
      <c r="B54" t="s">
        <v>200</v>
      </c>
      <c r="D54" t="s">
        <v>88</v>
      </c>
      <c r="F54" t="s">
        <v>201</v>
      </c>
      <c r="G54" s="101" t="s">
        <v>202</v>
      </c>
    </row>
    <row r="55" spans="2:7" ht="12.75">
      <c r="B55" t="s">
        <v>203</v>
      </c>
      <c r="D55" t="s">
        <v>88</v>
      </c>
      <c r="F55" t="s">
        <v>204</v>
      </c>
      <c r="G55" t="s">
        <v>205</v>
      </c>
    </row>
    <row r="56" spans="2:7" ht="12.75">
      <c r="B56" t="s">
        <v>206</v>
      </c>
      <c r="D56" t="s">
        <v>88</v>
      </c>
      <c r="F56" t="s">
        <v>207</v>
      </c>
      <c r="G56" t="s">
        <v>208</v>
      </c>
    </row>
    <row r="57" spans="2:7" ht="12.75">
      <c r="B57" t="s">
        <v>209</v>
      </c>
      <c r="D57" t="s">
        <v>88</v>
      </c>
      <c r="F57" t="s">
        <v>210</v>
      </c>
      <c r="G57" t="s">
        <v>211</v>
      </c>
    </row>
    <row r="58" spans="2:7" ht="12.75">
      <c r="B58" t="s">
        <v>212</v>
      </c>
      <c r="D58" t="s">
        <v>88</v>
      </c>
      <c r="F58" t="s">
        <v>213</v>
      </c>
      <c r="G58" t="s">
        <v>214</v>
      </c>
    </row>
    <row r="59" spans="2:7" ht="12.75">
      <c r="B59" t="s">
        <v>215</v>
      </c>
      <c r="D59" t="s">
        <v>88</v>
      </c>
      <c r="F59" t="s">
        <v>216</v>
      </c>
      <c r="G59" s="101" t="s">
        <v>217</v>
      </c>
    </row>
    <row r="60" spans="2:7" ht="12.75">
      <c r="B60" t="s">
        <v>218</v>
      </c>
      <c r="D60" t="s">
        <v>88</v>
      </c>
      <c r="F60" t="s">
        <v>219</v>
      </c>
      <c r="G60" t="s">
        <v>220</v>
      </c>
    </row>
    <row r="61" spans="2:7" ht="12.75">
      <c r="B61" t="s">
        <v>221</v>
      </c>
      <c r="D61" t="s">
        <v>88</v>
      </c>
      <c r="F61" t="s">
        <v>222</v>
      </c>
      <c r="G61" t="s">
        <v>223</v>
      </c>
    </row>
    <row r="62" spans="2:7" ht="12.75">
      <c r="B62" t="s">
        <v>224</v>
      </c>
      <c r="D62" t="s">
        <v>88</v>
      </c>
      <c r="F62" t="s">
        <v>225</v>
      </c>
      <c r="G62" t="s">
        <v>226</v>
      </c>
    </row>
    <row r="63" spans="2:7" ht="12.75">
      <c r="B63" t="s">
        <v>227</v>
      </c>
      <c r="D63" t="s">
        <v>88</v>
      </c>
      <c r="F63" t="s">
        <v>228</v>
      </c>
      <c r="G63" t="s">
        <v>229</v>
      </c>
    </row>
    <row r="64" spans="2:7" ht="12.75">
      <c r="B64" t="s">
        <v>230</v>
      </c>
      <c r="D64" t="s">
        <v>88</v>
      </c>
      <c r="F64" t="s">
        <v>231</v>
      </c>
      <c r="G64" t="s">
        <v>232</v>
      </c>
    </row>
    <row r="65" spans="2:7" ht="12.75">
      <c r="B65" t="s">
        <v>233</v>
      </c>
      <c r="D65" t="s">
        <v>88</v>
      </c>
      <c r="F65" t="s">
        <v>234</v>
      </c>
      <c r="G65" t="s">
        <v>235</v>
      </c>
    </row>
    <row r="66" spans="2:7" ht="12.75">
      <c r="B66" t="s">
        <v>236</v>
      </c>
      <c r="D66" t="s">
        <v>88</v>
      </c>
      <c r="F66" t="s">
        <v>237</v>
      </c>
      <c r="G66" t="s">
        <v>238</v>
      </c>
    </row>
    <row r="67" spans="2:7" ht="12.75">
      <c r="B67" t="s">
        <v>239</v>
      </c>
      <c r="D67" t="s">
        <v>88</v>
      </c>
      <c r="F67" t="s">
        <v>240</v>
      </c>
      <c r="G67" s="101" t="s">
        <v>241</v>
      </c>
    </row>
    <row r="68" spans="2:7" ht="12.75">
      <c r="B68" t="s">
        <v>242</v>
      </c>
      <c r="D68" t="s">
        <v>88</v>
      </c>
      <c r="F68" t="s">
        <v>243</v>
      </c>
      <c r="G68" t="s">
        <v>244</v>
      </c>
    </row>
    <row r="69" spans="2:6" ht="12.75">
      <c r="B69" t="s">
        <v>245</v>
      </c>
      <c r="D69" t="s">
        <v>88</v>
      </c>
      <c r="F69" t="s">
        <v>246</v>
      </c>
    </row>
    <row r="70" spans="2:6" ht="12.75">
      <c r="B70" t="s">
        <v>247</v>
      </c>
      <c r="D70" t="s">
        <v>88</v>
      </c>
      <c r="F70" t="s">
        <v>248</v>
      </c>
    </row>
    <row r="71" spans="2:6" ht="12.75">
      <c r="B71" t="s">
        <v>249</v>
      </c>
      <c r="D71" t="s">
        <v>88</v>
      </c>
      <c r="F71" t="s">
        <v>250</v>
      </c>
    </row>
    <row r="72" spans="2:6" ht="12.75">
      <c r="B72" t="s">
        <v>251</v>
      </c>
      <c r="D72" t="s">
        <v>88</v>
      </c>
      <c r="F72" t="s">
        <v>252</v>
      </c>
    </row>
    <row r="73" spans="2:6" ht="12.75">
      <c r="B73" t="s">
        <v>253</v>
      </c>
      <c r="D73" t="s">
        <v>88</v>
      </c>
      <c r="F73" t="s">
        <v>254</v>
      </c>
    </row>
    <row r="74" spans="2:6" ht="12.75">
      <c r="B74" t="s">
        <v>255</v>
      </c>
      <c r="D74" t="s">
        <v>256</v>
      </c>
      <c r="F74" t="s">
        <v>257</v>
      </c>
    </row>
    <row r="75" spans="2:6" ht="12.75">
      <c r="B75" t="s">
        <v>258</v>
      </c>
      <c r="D75" t="s">
        <v>256</v>
      </c>
      <c r="F75" t="s">
        <v>259</v>
      </c>
    </row>
    <row r="76" ht="12.75">
      <c r="B76" t="s">
        <v>260</v>
      </c>
    </row>
    <row r="77" spans="2:6" ht="12.75">
      <c r="B77" t="s">
        <v>261</v>
      </c>
      <c r="D77" t="s">
        <v>256</v>
      </c>
      <c r="F77" t="s">
        <v>262</v>
      </c>
    </row>
    <row r="78" spans="2:6" ht="12.75">
      <c r="B78" t="s">
        <v>263</v>
      </c>
      <c r="D78" t="s">
        <v>256</v>
      </c>
      <c r="F78" t="s">
        <v>264</v>
      </c>
    </row>
    <row r="79" spans="2:6" ht="12.75">
      <c r="B79" t="s">
        <v>265</v>
      </c>
      <c r="D79" t="s">
        <v>256</v>
      </c>
      <c r="F79" t="s">
        <v>266</v>
      </c>
    </row>
    <row r="80" spans="2:6" ht="12.75">
      <c r="B80" t="s">
        <v>267</v>
      </c>
      <c r="D80" t="s">
        <v>256</v>
      </c>
      <c r="F80" t="s">
        <v>268</v>
      </c>
    </row>
    <row r="81" spans="2:6" ht="12.75">
      <c r="B81" t="s">
        <v>269</v>
      </c>
      <c r="D81" t="s">
        <v>256</v>
      </c>
      <c r="F81" t="s">
        <v>270</v>
      </c>
    </row>
    <row r="82" spans="2:6" ht="12.75">
      <c r="B82" t="s">
        <v>271</v>
      </c>
      <c r="D82" t="s">
        <v>88</v>
      </c>
      <c r="F82" t="s">
        <v>272</v>
      </c>
    </row>
    <row r="83" spans="2:6" ht="12.75">
      <c r="B83" t="s">
        <v>273</v>
      </c>
      <c r="D83" t="s">
        <v>88</v>
      </c>
      <c r="F83" t="s">
        <v>274</v>
      </c>
    </row>
    <row r="84" spans="2:6" ht="12.75">
      <c r="B84" t="s">
        <v>275</v>
      </c>
      <c r="D84" t="s">
        <v>88</v>
      </c>
      <c r="F84" t="s">
        <v>276</v>
      </c>
    </row>
    <row r="85" spans="2:6" ht="12.75">
      <c r="B85" t="s">
        <v>277</v>
      </c>
      <c r="D85" t="s">
        <v>88</v>
      </c>
      <c r="F85" t="s">
        <v>278</v>
      </c>
    </row>
    <row r="86" spans="2:6" ht="12.75">
      <c r="B86" t="s">
        <v>279</v>
      </c>
      <c r="D86" t="s">
        <v>88</v>
      </c>
      <c r="F86" t="s">
        <v>280</v>
      </c>
    </row>
    <row r="95" spans="2:8" ht="12.75">
      <c r="B95" t="s">
        <v>281</v>
      </c>
      <c r="D95" t="s">
        <v>256</v>
      </c>
      <c r="F95" s="101" t="s">
        <v>282</v>
      </c>
      <c r="G95" t="s">
        <v>283</v>
      </c>
      <c r="H95" s="101"/>
    </row>
    <row r="96" spans="2:8" ht="12.75">
      <c r="B96" t="s">
        <v>284</v>
      </c>
      <c r="D96" t="s">
        <v>256</v>
      </c>
      <c r="F96" s="101" t="s">
        <v>285</v>
      </c>
      <c r="G96" t="s">
        <v>283</v>
      </c>
      <c r="H96" s="101"/>
    </row>
    <row r="97" spans="2:8" ht="12.75">
      <c r="B97" t="s">
        <v>286</v>
      </c>
      <c r="D97" t="s">
        <v>256</v>
      </c>
      <c r="F97" s="101" t="s">
        <v>287</v>
      </c>
      <c r="G97" t="s">
        <v>288</v>
      </c>
      <c r="H97" s="101"/>
    </row>
    <row r="98" spans="2:8" ht="12.75">
      <c r="B98" t="s">
        <v>289</v>
      </c>
      <c r="D98" t="s">
        <v>256</v>
      </c>
      <c r="F98" s="101" t="s">
        <v>290</v>
      </c>
      <c r="G98" t="s">
        <v>288</v>
      </c>
      <c r="H98" s="101"/>
    </row>
    <row r="99" spans="2:8" ht="12.75">
      <c r="B99" t="s">
        <v>291</v>
      </c>
      <c r="D99" t="s">
        <v>256</v>
      </c>
      <c r="F99" s="101">
        <v>1</v>
      </c>
      <c r="G99" t="s">
        <v>292</v>
      </c>
      <c r="H99" s="101"/>
    </row>
    <row r="100" spans="2:8" ht="12.75">
      <c r="B100" t="s">
        <v>293</v>
      </c>
      <c r="D100" t="s">
        <v>256</v>
      </c>
      <c r="F100" s="101">
        <v>1</v>
      </c>
      <c r="G100" t="s">
        <v>294</v>
      </c>
      <c r="H100" s="101"/>
    </row>
    <row r="101" spans="2:8" ht="12.75">
      <c r="B101" t="s">
        <v>295</v>
      </c>
      <c r="D101" t="s">
        <v>296</v>
      </c>
      <c r="F101" s="101">
        <v>0</v>
      </c>
      <c r="G101" t="s">
        <v>297</v>
      </c>
      <c r="H101" s="101"/>
    </row>
    <row r="102" spans="2:8" ht="12.75">
      <c r="B102" t="s">
        <v>298</v>
      </c>
      <c r="D102" t="s">
        <v>296</v>
      </c>
      <c r="F102" s="101">
        <v>0</v>
      </c>
      <c r="G102"/>
      <c r="H102" s="101"/>
    </row>
    <row r="103" spans="2:8" ht="12.75">
      <c r="B103" t="s">
        <v>299</v>
      </c>
      <c r="D103" t="s">
        <v>88</v>
      </c>
      <c r="F103" s="101" t="s">
        <v>300</v>
      </c>
      <c r="G103"/>
      <c r="H103" s="101"/>
    </row>
    <row r="104" spans="2:7" ht="12.75">
      <c r="B104" t="s">
        <v>301</v>
      </c>
      <c r="D104" t="s">
        <v>88</v>
      </c>
      <c r="F104" s="101" t="s">
        <v>302</v>
      </c>
      <c r="G104" s="101" t="s">
        <v>303</v>
      </c>
    </row>
    <row r="105" spans="2:7" ht="12.75">
      <c r="B105" t="s">
        <v>304</v>
      </c>
      <c r="D105" t="s">
        <v>88</v>
      </c>
      <c r="F105" s="101" t="s">
        <v>305</v>
      </c>
      <c r="G105" s="101" t="s">
        <v>306</v>
      </c>
    </row>
    <row r="106" spans="2:7" ht="12.75">
      <c r="B106" t="s">
        <v>307</v>
      </c>
      <c r="D106" t="s">
        <v>88</v>
      </c>
      <c r="F106" t="s">
        <v>308</v>
      </c>
      <c r="G106" s="101" t="s">
        <v>309</v>
      </c>
    </row>
    <row r="107" spans="2:7" ht="12.75">
      <c r="B107" t="s">
        <v>310</v>
      </c>
      <c r="D107" t="s">
        <v>88</v>
      </c>
      <c r="F107" t="s">
        <v>311</v>
      </c>
      <c r="G107" s="101" t="s">
        <v>312</v>
      </c>
    </row>
    <row r="108" spans="2:7" ht="12.75">
      <c r="B108" t="s">
        <v>313</v>
      </c>
      <c r="D108" t="s">
        <v>88</v>
      </c>
      <c r="F108" t="s">
        <v>314</v>
      </c>
      <c r="G108" s="101" t="s">
        <v>315</v>
      </c>
    </row>
    <row r="109" spans="2:7" ht="12.75">
      <c r="B109" t="s">
        <v>316</v>
      </c>
      <c r="D109" t="s">
        <v>88</v>
      </c>
      <c r="F109" t="s">
        <v>317</v>
      </c>
      <c r="G109" s="101" t="s">
        <v>318</v>
      </c>
    </row>
    <row r="110" spans="2:7" ht="12.75">
      <c r="B110" t="s">
        <v>319</v>
      </c>
      <c r="D110" t="s">
        <v>88</v>
      </c>
      <c r="F110" t="s">
        <v>320</v>
      </c>
      <c r="G110" s="101" t="s">
        <v>321</v>
      </c>
    </row>
    <row r="111" spans="2:7" ht="12.75">
      <c r="B111" t="s">
        <v>322</v>
      </c>
      <c r="D111" t="s">
        <v>88</v>
      </c>
      <c r="F111" t="s">
        <v>323</v>
      </c>
      <c r="G111" s="101" t="s">
        <v>324</v>
      </c>
    </row>
    <row r="112" spans="2:6" ht="12.75">
      <c r="B112" t="s">
        <v>325</v>
      </c>
      <c r="D112" t="s">
        <v>88</v>
      </c>
      <c r="F112" t="s">
        <v>326</v>
      </c>
    </row>
    <row r="113" spans="2:6" ht="12.75">
      <c r="B113" t="s">
        <v>327</v>
      </c>
      <c r="D113" t="s">
        <v>88</v>
      </c>
      <c r="F113" t="s">
        <v>328</v>
      </c>
    </row>
    <row r="114" spans="2:6" ht="12.75">
      <c r="B114" t="s">
        <v>329</v>
      </c>
      <c r="D114" t="s">
        <v>88</v>
      </c>
      <c r="F114" t="s">
        <v>330</v>
      </c>
    </row>
    <row r="115" spans="2:6" ht="12.75">
      <c r="B115" t="s">
        <v>331</v>
      </c>
      <c r="D115" t="s">
        <v>88</v>
      </c>
      <c r="F115" t="s">
        <v>332</v>
      </c>
    </row>
    <row r="116" spans="2:7" ht="12.75">
      <c r="B116" t="s">
        <v>333</v>
      </c>
      <c r="D116" t="s">
        <v>88</v>
      </c>
      <c r="F116" t="s">
        <v>302</v>
      </c>
      <c r="G116" s="101" t="s">
        <v>334</v>
      </c>
    </row>
    <row r="117" spans="2:7" ht="12.75">
      <c r="B117" t="s">
        <v>335</v>
      </c>
      <c r="D117" t="s">
        <v>88</v>
      </c>
      <c r="F117" t="s">
        <v>302</v>
      </c>
      <c r="G117" s="101" t="s">
        <v>336</v>
      </c>
    </row>
    <row r="119" spans="2:3" ht="12.75">
      <c r="B119" t="s">
        <v>337</v>
      </c>
      <c r="C119" t="s">
        <v>338</v>
      </c>
    </row>
    <row r="120" spans="2:3" ht="12.75">
      <c r="B120" t="s">
        <v>339</v>
      </c>
      <c r="C120" t="s">
        <v>340</v>
      </c>
    </row>
    <row r="121" spans="2:3" ht="12.75">
      <c r="B121" t="s">
        <v>341</v>
      </c>
      <c r="C121" t="s">
        <v>342</v>
      </c>
    </row>
    <row r="122" ht="12.75">
      <c r="B122" t="s">
        <v>343</v>
      </c>
    </row>
    <row r="123" spans="2:4" ht="12.75">
      <c r="B123" t="s">
        <v>344</v>
      </c>
      <c r="C123" t="s">
        <v>345</v>
      </c>
      <c r="D123" t="s">
        <v>346</v>
      </c>
    </row>
    <row r="124" spans="2:4" ht="12.75">
      <c r="B124" t="s">
        <v>347</v>
      </c>
      <c r="C124" t="s">
        <v>348</v>
      </c>
      <c r="D124" t="s">
        <v>349</v>
      </c>
    </row>
    <row r="125" spans="2:4" ht="12.75">
      <c r="B125" t="s">
        <v>350</v>
      </c>
      <c r="C125" t="s">
        <v>351</v>
      </c>
      <c r="D125" t="s">
        <v>352</v>
      </c>
    </row>
    <row r="126" spans="2:4" ht="12.75">
      <c r="B126" t="s">
        <v>353</v>
      </c>
      <c r="C126" t="s">
        <v>354</v>
      </c>
      <c r="D126" t="s">
        <v>355</v>
      </c>
    </row>
    <row r="127" spans="2:5" ht="12.75">
      <c r="B127" t="s">
        <v>356</v>
      </c>
      <c r="D127">
        <v>2</v>
      </c>
      <c r="E127" t="s">
        <v>357</v>
      </c>
    </row>
    <row r="128" ht="12.75">
      <c r="B128" t="s">
        <v>343</v>
      </c>
    </row>
    <row r="129" spans="2:5" ht="12.75">
      <c r="B129" t="s">
        <v>358</v>
      </c>
      <c r="D129" t="s">
        <v>359</v>
      </c>
      <c r="E129" t="s">
        <v>360</v>
      </c>
    </row>
    <row r="130" spans="2:4" ht="12.75">
      <c r="B130" t="s">
        <v>361</v>
      </c>
      <c r="C130" t="s">
        <v>348</v>
      </c>
      <c r="D130" t="s">
        <v>362</v>
      </c>
    </row>
    <row r="131" spans="2:4" ht="12.75">
      <c r="B131" t="s">
        <v>363</v>
      </c>
      <c r="C131" t="s">
        <v>364</v>
      </c>
      <c r="D131" t="s">
        <v>365</v>
      </c>
    </row>
  </sheetData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orientation="landscape" paperSize="9" scale="29" r:id="rId1"/>
  <headerFooter alignWithMargins="0">
    <oddHeader>&amp;L&amp;F    &amp;A&amp;R&amp;D</oddHeader>
    <oddFooter>&amp;R&amp;P  / 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O25"/>
  <sheetViews>
    <sheetView workbookViewId="0" topLeftCell="A1">
      <selection activeCell="C30" sqref="C30"/>
    </sheetView>
  </sheetViews>
  <sheetFormatPr defaultColWidth="11.421875" defaultRowHeight="12.75"/>
  <cols>
    <col min="8" max="8" width="5.8515625" style="0" customWidth="1"/>
    <col min="9" max="9" width="9.28125" style="0" customWidth="1"/>
    <col min="10" max="10" width="12.7109375" style="0" customWidth="1"/>
    <col min="11" max="11" width="6.7109375" style="0" customWidth="1"/>
    <col min="12" max="12" width="5.8515625" style="0" customWidth="1"/>
    <col min="13" max="13" width="8.28125" style="0" customWidth="1"/>
  </cols>
  <sheetData>
    <row r="1" ht="12.75">
      <c r="A1" s="80" t="s">
        <v>72</v>
      </c>
    </row>
    <row r="2" spans="1:5" ht="12.75">
      <c r="A2" s="81" t="s">
        <v>73</v>
      </c>
      <c r="B2" s="82">
        <v>4000000</v>
      </c>
      <c r="C2" t="s">
        <v>74</v>
      </c>
      <c r="D2">
        <f>B2/1000000</f>
        <v>4</v>
      </c>
      <c r="E2" t="s">
        <v>75</v>
      </c>
    </row>
    <row r="4" spans="1:8" ht="12.75">
      <c r="A4" s="83"/>
      <c r="B4" s="84" t="s">
        <v>76</v>
      </c>
      <c r="C4" s="83"/>
      <c r="D4" s="83"/>
      <c r="E4" s="83"/>
      <c r="F4" s="84" t="s">
        <v>77</v>
      </c>
      <c r="G4" s="83"/>
      <c r="H4" s="83"/>
    </row>
    <row r="5" spans="1:8" ht="12.75">
      <c r="A5" s="83" t="s">
        <v>78</v>
      </c>
      <c r="B5" s="83" t="s">
        <v>79</v>
      </c>
      <c r="C5" s="83" t="s">
        <v>80</v>
      </c>
      <c r="D5" s="83"/>
      <c r="E5" s="83" t="s">
        <v>78</v>
      </c>
      <c r="F5" s="83" t="s">
        <v>79</v>
      </c>
      <c r="G5" s="83" t="s">
        <v>80</v>
      </c>
      <c r="H5" s="83"/>
    </row>
    <row r="6" spans="1:15" ht="12.75">
      <c r="A6" s="83">
        <v>110</v>
      </c>
      <c r="B6" s="85" t="str">
        <f aca="true" t="shared" si="0" ref="B6:B23">IF(AND(0&lt;I6,I6&lt;=255),I6,"N/A")</f>
        <v>N/A</v>
      </c>
      <c r="C6" s="86" t="str">
        <f aca="true" t="shared" si="1" ref="C6:C23">IF(B6="N/A","N/A",(J6-A6)/A6)</f>
        <v>N/A</v>
      </c>
      <c r="D6" s="87"/>
      <c r="E6" s="83">
        <v>110</v>
      </c>
      <c r="F6" s="85" t="str">
        <f aca="true" t="shared" si="2" ref="F6:F23">IF(AND(0&lt;M6,M6&lt;=255),M6,"N/A")</f>
        <v>N/A</v>
      </c>
      <c r="G6" s="86" t="str">
        <f aca="true" t="shared" si="3" ref="G6:G23">IF(F6="N/A","N/A",(N6-E6)/E6)</f>
        <v>N/A</v>
      </c>
      <c r="H6" s="86"/>
      <c r="I6" s="88">
        <f>((B2/(A6*64))-1)</f>
        <v>567.1818181818181</v>
      </c>
      <c r="J6" s="89">
        <f>B2/(64*(K6+1))</f>
        <v>110.03521126760563</v>
      </c>
      <c r="K6" s="90">
        <f aca="true" t="shared" si="4" ref="K6:K18">ROUND(I6,0)</f>
        <v>567</v>
      </c>
      <c r="M6" s="88">
        <f>((B2/(E6*16))-1)</f>
        <v>2271.7272727272725</v>
      </c>
      <c r="N6" s="89">
        <f>B2/(16*(O6+1))</f>
        <v>109.98680158380995</v>
      </c>
      <c r="O6" s="90">
        <f aca="true" t="shared" si="5" ref="O6:O18">ROUND(M6,0)</f>
        <v>2272</v>
      </c>
    </row>
    <row r="7" spans="1:15" ht="12.75">
      <c r="A7" s="83">
        <v>300</v>
      </c>
      <c r="B7" s="85">
        <f t="shared" si="0"/>
        <v>207.33333333333334</v>
      </c>
      <c r="C7" s="86">
        <f t="shared" si="1"/>
        <v>0.001602564102564088</v>
      </c>
      <c r="D7" s="83"/>
      <c r="E7" s="83">
        <v>300</v>
      </c>
      <c r="F7" s="85" t="str">
        <f t="shared" si="2"/>
        <v>N/A</v>
      </c>
      <c r="G7" s="86" t="str">
        <f t="shared" si="3"/>
        <v>N/A</v>
      </c>
      <c r="H7" s="86"/>
      <c r="I7" s="88">
        <f>(B2/(A7*64))-1</f>
        <v>207.33333333333334</v>
      </c>
      <c r="J7" s="89">
        <f>B2/(64*(K7+1))</f>
        <v>300.4807692307692</v>
      </c>
      <c r="K7" s="90">
        <f t="shared" si="4"/>
        <v>207</v>
      </c>
      <c r="M7" s="88">
        <f>(B2/(E7*16))-1</f>
        <v>832.3333333333334</v>
      </c>
      <c r="N7" s="89">
        <f>B2/(16*(O7+1))</f>
        <v>300.1200480192077</v>
      </c>
      <c r="O7" s="90">
        <f t="shared" si="5"/>
        <v>832</v>
      </c>
    </row>
    <row r="8" spans="1:15" ht="12.75">
      <c r="A8" s="91">
        <v>600</v>
      </c>
      <c r="B8" s="85">
        <f t="shared" si="0"/>
        <v>103.16666666666667</v>
      </c>
      <c r="C8" s="86">
        <f t="shared" si="1"/>
        <v>0.001602564102564088</v>
      </c>
      <c r="D8" s="83"/>
      <c r="E8" s="83">
        <v>600</v>
      </c>
      <c r="F8" s="85" t="str">
        <f t="shared" si="2"/>
        <v>N/A</v>
      </c>
      <c r="G8" s="86" t="str">
        <f t="shared" si="3"/>
        <v>N/A</v>
      </c>
      <c r="H8" s="86"/>
      <c r="I8" s="88">
        <f>(B2/(A8*64))-1</f>
        <v>103.16666666666667</v>
      </c>
      <c r="J8" s="89">
        <f>B2/(64*(K8+1))</f>
        <v>600.9615384615385</v>
      </c>
      <c r="K8" s="90">
        <f t="shared" si="4"/>
        <v>103</v>
      </c>
      <c r="M8" s="88">
        <f>(B2/(E8*16))-1</f>
        <v>415.6666666666667</v>
      </c>
      <c r="N8" s="89">
        <f>B2/(16*(O8+1))</f>
        <v>599.5203836930456</v>
      </c>
      <c r="O8" s="90">
        <f t="shared" si="5"/>
        <v>416</v>
      </c>
    </row>
    <row r="9" spans="1:15" ht="12.75">
      <c r="A9" s="83">
        <v>1200</v>
      </c>
      <c r="B9" s="85">
        <f t="shared" si="0"/>
        <v>51.083333333333336</v>
      </c>
      <c r="C9" s="86">
        <f t="shared" si="1"/>
        <v>0.001602564102564088</v>
      </c>
      <c r="D9" s="83"/>
      <c r="E9" s="83">
        <v>1200</v>
      </c>
      <c r="F9" s="85">
        <f t="shared" si="2"/>
        <v>207.33333333333334</v>
      </c>
      <c r="G9" s="86">
        <f t="shared" si="3"/>
        <v>0.001602564102564088</v>
      </c>
      <c r="H9" s="86"/>
      <c r="I9" s="88">
        <f>(B2/(A9*64))-1</f>
        <v>51.083333333333336</v>
      </c>
      <c r="J9" s="89">
        <f>B2/(64*(K9+1))</f>
        <v>1201.923076923077</v>
      </c>
      <c r="K9" s="90">
        <f t="shared" si="4"/>
        <v>51</v>
      </c>
      <c r="M9" s="88">
        <f>(B2/(E9*16))-1</f>
        <v>207.33333333333334</v>
      </c>
      <c r="N9" s="89">
        <f>B2/(16*(O9+1))</f>
        <v>1201.923076923077</v>
      </c>
      <c r="O9" s="90">
        <f t="shared" si="5"/>
        <v>207</v>
      </c>
    </row>
    <row r="10" spans="1:15" ht="12.75">
      <c r="A10" s="83">
        <v>2400</v>
      </c>
      <c r="B10" s="85">
        <f t="shared" si="0"/>
        <v>25.041666666666668</v>
      </c>
      <c r="C10" s="86">
        <f t="shared" si="1"/>
        <v>0.001602564102564088</v>
      </c>
      <c r="D10" s="83"/>
      <c r="E10" s="83">
        <v>2400</v>
      </c>
      <c r="F10" s="85">
        <f t="shared" si="2"/>
        <v>103.16666666666667</v>
      </c>
      <c r="G10" s="86">
        <f t="shared" si="3"/>
        <v>0.001602564102564088</v>
      </c>
      <c r="H10" s="86"/>
      <c r="I10" s="88">
        <f>(B2/(A10*64))-1</f>
        <v>25.041666666666668</v>
      </c>
      <c r="J10" s="89">
        <f>B2/(64*(K10+1))</f>
        <v>2403.846153846154</v>
      </c>
      <c r="K10" s="90">
        <f t="shared" si="4"/>
        <v>25</v>
      </c>
      <c r="M10" s="88">
        <f>(B2/(E10*16))-1</f>
        <v>103.16666666666667</v>
      </c>
      <c r="N10" s="89">
        <f>B2/(16*(O10+1))</f>
        <v>2403.846153846154</v>
      </c>
      <c r="O10" s="90">
        <f t="shared" si="5"/>
        <v>103</v>
      </c>
    </row>
    <row r="11" spans="1:15" ht="12.75">
      <c r="A11" s="83">
        <v>4800</v>
      </c>
      <c r="B11" s="85">
        <f t="shared" si="0"/>
        <v>12.020833333333334</v>
      </c>
      <c r="C11" s="86">
        <f t="shared" si="1"/>
        <v>0.001602564102564088</v>
      </c>
      <c r="D11" s="83"/>
      <c r="E11" s="83">
        <v>4800</v>
      </c>
      <c r="F11" s="85">
        <f t="shared" si="2"/>
        <v>51.083333333333336</v>
      </c>
      <c r="G11" s="86">
        <f t="shared" si="3"/>
        <v>0.001602564102564088</v>
      </c>
      <c r="H11" s="86"/>
      <c r="I11" s="88">
        <f>(B2/(A11*64))-1</f>
        <v>12.020833333333334</v>
      </c>
      <c r="J11" s="89">
        <f>B2/(64*(K11+1))</f>
        <v>4807.692307692308</v>
      </c>
      <c r="K11" s="90">
        <f t="shared" si="4"/>
        <v>12</v>
      </c>
      <c r="M11" s="88">
        <f>(B2/(E11*16))-1</f>
        <v>51.083333333333336</v>
      </c>
      <c r="N11" s="89">
        <f>B2/(16*(O11+1))</f>
        <v>4807.692307692308</v>
      </c>
      <c r="O11" s="90">
        <f t="shared" si="5"/>
        <v>51</v>
      </c>
    </row>
    <row r="12" spans="1:15" ht="12.75">
      <c r="A12" s="83">
        <v>9600</v>
      </c>
      <c r="B12" s="85">
        <f t="shared" si="0"/>
        <v>5.510416666666667</v>
      </c>
      <c r="C12" s="86">
        <f t="shared" si="1"/>
        <v>-0.06994047619047611</v>
      </c>
      <c r="D12" s="83"/>
      <c r="E12" s="98">
        <v>9600</v>
      </c>
      <c r="F12" s="99">
        <f t="shared" si="2"/>
        <v>25.041666666666668</v>
      </c>
      <c r="G12" s="100">
        <f t="shared" si="3"/>
        <v>0.001602564102564088</v>
      </c>
      <c r="H12" s="86"/>
      <c r="I12" s="88">
        <f>(B2/(A12*64))-1</f>
        <v>5.510416666666667</v>
      </c>
      <c r="J12" s="89">
        <f>B2/(64*(K12+1))</f>
        <v>8928.57142857143</v>
      </c>
      <c r="K12" s="90">
        <f t="shared" si="4"/>
        <v>6</v>
      </c>
      <c r="M12" s="88">
        <f>(B2/(E12*16))-1</f>
        <v>25.041666666666668</v>
      </c>
      <c r="N12" s="89">
        <f>B2/(16*(O12+1))</f>
        <v>9615.384615384615</v>
      </c>
      <c r="O12" s="90">
        <f t="shared" si="5"/>
        <v>25</v>
      </c>
    </row>
    <row r="13" spans="1:15" ht="12.75">
      <c r="A13" s="83">
        <v>19200</v>
      </c>
      <c r="B13" s="85">
        <f t="shared" si="0"/>
        <v>2.2552083333333335</v>
      </c>
      <c r="C13" s="86">
        <f t="shared" si="1"/>
        <v>0.08506944444444438</v>
      </c>
      <c r="D13" s="83"/>
      <c r="E13" s="83">
        <v>19200</v>
      </c>
      <c r="F13" s="85">
        <f t="shared" si="2"/>
        <v>12.020833333333334</v>
      </c>
      <c r="G13" s="86">
        <f t="shared" si="3"/>
        <v>0.001602564102564088</v>
      </c>
      <c r="H13" s="86"/>
      <c r="I13" s="88">
        <f>(B2/(A13*64))-1</f>
        <v>2.2552083333333335</v>
      </c>
      <c r="J13" s="89">
        <f>B2/(64*(K13+1))</f>
        <v>20833.333333333332</v>
      </c>
      <c r="K13" s="90">
        <f t="shared" si="4"/>
        <v>2</v>
      </c>
      <c r="M13" s="88">
        <f>(B2/(E13*16))-1</f>
        <v>12.020833333333334</v>
      </c>
      <c r="N13" s="89">
        <f>B2/(16*(O13+1))</f>
        <v>19230.76923076923</v>
      </c>
      <c r="O13" s="90">
        <f t="shared" si="5"/>
        <v>12</v>
      </c>
    </row>
    <row r="14" spans="1:15" ht="12.75">
      <c r="A14" s="83">
        <v>28800</v>
      </c>
      <c r="B14" s="85">
        <f t="shared" si="0"/>
        <v>1.1701388888888888</v>
      </c>
      <c r="C14" s="86">
        <f t="shared" si="1"/>
        <v>0.08506944444444445</v>
      </c>
      <c r="D14" s="83"/>
      <c r="E14" s="83">
        <v>28800</v>
      </c>
      <c r="F14" s="85">
        <f t="shared" si="2"/>
        <v>7.680555555555555</v>
      </c>
      <c r="G14" s="86">
        <f t="shared" si="3"/>
        <v>-0.03549382716049384</v>
      </c>
      <c r="H14" s="86"/>
      <c r="I14" s="88">
        <f>(B2/(A14*64))-1</f>
        <v>1.1701388888888888</v>
      </c>
      <c r="J14" s="89">
        <f>B2/(64*(K14+1))</f>
        <v>31250</v>
      </c>
      <c r="K14" s="90">
        <f t="shared" si="4"/>
        <v>1</v>
      </c>
      <c r="M14" s="88">
        <f>(B2/(E14*16))-1</f>
        <v>7.680555555555555</v>
      </c>
      <c r="N14" s="89">
        <f>B2/(16*(O14+1))</f>
        <v>27777.777777777777</v>
      </c>
      <c r="O14" s="90">
        <f t="shared" si="5"/>
        <v>8</v>
      </c>
    </row>
    <row r="15" spans="1:15" ht="12.75">
      <c r="A15" s="83">
        <v>38400</v>
      </c>
      <c r="B15" s="85">
        <f t="shared" si="0"/>
        <v>0.6276041666666667</v>
      </c>
      <c r="C15" s="86">
        <f t="shared" si="1"/>
        <v>-0.18619791666666666</v>
      </c>
      <c r="D15" s="83"/>
      <c r="E15" s="83">
        <v>38400</v>
      </c>
      <c r="F15" s="85">
        <f t="shared" si="2"/>
        <v>5.510416666666667</v>
      </c>
      <c r="G15" s="86">
        <f t="shared" si="3"/>
        <v>-0.06994047619047611</v>
      </c>
      <c r="H15" s="86"/>
      <c r="I15" s="88">
        <f>(B2/(A15*64))-1</f>
        <v>0.6276041666666667</v>
      </c>
      <c r="J15" s="89">
        <f>B2/(64*(K15+1))</f>
        <v>31250</v>
      </c>
      <c r="K15" s="90">
        <f t="shared" si="4"/>
        <v>1</v>
      </c>
      <c r="M15" s="88">
        <f>(B2/(E15*16))-1</f>
        <v>5.510416666666667</v>
      </c>
      <c r="N15" s="89">
        <f>B2/(16*(O15+1))</f>
        <v>35714.28571428572</v>
      </c>
      <c r="O15" s="90">
        <f t="shared" si="5"/>
        <v>6</v>
      </c>
    </row>
    <row r="16" spans="1:15" ht="12.75">
      <c r="A16" s="83">
        <v>57600</v>
      </c>
      <c r="B16" s="85">
        <f t="shared" si="0"/>
        <v>0.08506944444444442</v>
      </c>
      <c r="C16" s="86">
        <f t="shared" si="1"/>
        <v>0.08506944444444445</v>
      </c>
      <c r="D16" s="83"/>
      <c r="E16" s="83">
        <v>57600</v>
      </c>
      <c r="F16" s="85">
        <f t="shared" si="2"/>
        <v>3.3402777777777777</v>
      </c>
      <c r="G16" s="86">
        <f t="shared" si="3"/>
        <v>0.08506944444444445</v>
      </c>
      <c r="H16" s="86"/>
      <c r="I16" s="88">
        <f>(B2/(A16*64))-1</f>
        <v>0.08506944444444442</v>
      </c>
      <c r="J16" s="89">
        <f>B2/(64*(K16+1))</f>
        <v>62500</v>
      </c>
      <c r="K16" s="90">
        <f t="shared" si="4"/>
        <v>0</v>
      </c>
      <c r="M16" s="88">
        <f>(B2/(E16*16))-1</f>
        <v>3.3402777777777777</v>
      </c>
      <c r="N16" s="89">
        <f>B2/(16*(O16+1))</f>
        <v>62500</v>
      </c>
      <c r="O16" s="90">
        <f t="shared" si="5"/>
        <v>3</v>
      </c>
    </row>
    <row r="17" spans="1:15" ht="12.75">
      <c r="A17" s="83">
        <v>76800</v>
      </c>
      <c r="B17" s="85" t="str">
        <f t="shared" si="0"/>
        <v>N/A</v>
      </c>
      <c r="C17" s="86" t="str">
        <f t="shared" si="1"/>
        <v>N/A</v>
      </c>
      <c r="D17" s="83"/>
      <c r="E17" s="83">
        <v>76800</v>
      </c>
      <c r="F17" s="85">
        <f t="shared" si="2"/>
        <v>2.2552083333333335</v>
      </c>
      <c r="G17" s="86">
        <f t="shared" si="3"/>
        <v>0.08506944444444438</v>
      </c>
      <c r="H17" s="86"/>
      <c r="I17" s="88">
        <f>(B2/(A17*64))-1</f>
        <v>-0.18619791666666663</v>
      </c>
      <c r="J17" s="89">
        <f>B2/(64*(K17+1))</f>
        <v>62500</v>
      </c>
      <c r="K17" s="90">
        <f t="shared" si="4"/>
        <v>0</v>
      </c>
      <c r="M17" s="88">
        <f>(B2/(E17*16))-1</f>
        <v>2.2552083333333335</v>
      </c>
      <c r="N17" s="89">
        <f>B2/(16*(O17+1))</f>
        <v>83333.33333333333</v>
      </c>
      <c r="O17" s="90">
        <f t="shared" si="5"/>
        <v>2</v>
      </c>
    </row>
    <row r="18" spans="1:15" ht="12.75">
      <c r="A18" s="83">
        <v>115200</v>
      </c>
      <c r="B18" s="85" t="str">
        <f t="shared" si="0"/>
        <v>N/A</v>
      </c>
      <c r="C18" s="86" t="str">
        <f t="shared" si="1"/>
        <v>N/A</v>
      </c>
      <c r="D18" s="83"/>
      <c r="E18" s="91">
        <v>115200</v>
      </c>
      <c r="F18" s="85">
        <f t="shared" si="2"/>
        <v>1.1701388888888888</v>
      </c>
      <c r="G18" s="86">
        <f t="shared" si="3"/>
        <v>0.08506944444444445</v>
      </c>
      <c r="H18" s="86"/>
      <c r="I18" s="88">
        <f>(B2/(A18*64))-1</f>
        <v>-0.4574652777777778</v>
      </c>
      <c r="J18" s="89">
        <f>B2/(64*(K18+1))</f>
        <v>62500</v>
      </c>
      <c r="K18" s="90">
        <f t="shared" si="4"/>
        <v>0</v>
      </c>
      <c r="M18" s="88">
        <f>(B2/(E18*16))-1</f>
        <v>1.1701388888888888</v>
      </c>
      <c r="N18" s="89">
        <f>B2/(16*(O18+1))</f>
        <v>125000</v>
      </c>
      <c r="O18" s="90">
        <f t="shared" si="5"/>
        <v>1</v>
      </c>
    </row>
    <row r="19" spans="1:8" ht="12.75">
      <c r="A19" s="83">
        <v>250000</v>
      </c>
      <c r="B19" s="85" t="str">
        <f t="shared" si="0"/>
        <v>N/A</v>
      </c>
      <c r="C19" s="86" t="str">
        <f t="shared" si="1"/>
        <v>N/A</v>
      </c>
      <c r="D19" s="83"/>
      <c r="E19" s="83">
        <v>250000</v>
      </c>
      <c r="F19" s="85" t="str">
        <f t="shared" si="2"/>
        <v>N/A</v>
      </c>
      <c r="G19" s="86" t="str">
        <f t="shared" si="3"/>
        <v>N/A</v>
      </c>
      <c r="H19" s="86"/>
    </row>
    <row r="20" spans="1:8" ht="12.75">
      <c r="A20" s="83">
        <v>300000</v>
      </c>
      <c r="B20" s="85" t="str">
        <f t="shared" si="0"/>
        <v>N/A</v>
      </c>
      <c r="C20" s="86" t="str">
        <f t="shared" si="1"/>
        <v>N/A</v>
      </c>
      <c r="D20" s="83"/>
      <c r="E20" s="83">
        <v>300000</v>
      </c>
      <c r="F20" s="85" t="str">
        <f t="shared" si="2"/>
        <v>N/A</v>
      </c>
      <c r="G20" s="86" t="str">
        <f t="shared" si="3"/>
        <v>N/A</v>
      </c>
      <c r="H20" s="86"/>
    </row>
    <row r="21" spans="1:8" ht="12.75">
      <c r="A21" s="83">
        <v>500000</v>
      </c>
      <c r="B21" s="85" t="str">
        <f t="shared" si="0"/>
        <v>N/A</v>
      </c>
      <c r="C21" s="86" t="str">
        <f t="shared" si="1"/>
        <v>N/A</v>
      </c>
      <c r="D21" s="83"/>
      <c r="E21" s="83">
        <v>500000</v>
      </c>
      <c r="F21" s="85" t="str">
        <f t="shared" si="2"/>
        <v>N/A</v>
      </c>
      <c r="G21" s="86" t="str">
        <f t="shared" si="3"/>
        <v>N/A</v>
      </c>
      <c r="H21" s="86"/>
    </row>
    <row r="22" spans="1:8" ht="12.75">
      <c r="A22" s="83">
        <v>625000</v>
      </c>
      <c r="B22" s="85" t="str">
        <f t="shared" si="0"/>
        <v>N/A</v>
      </c>
      <c r="C22" s="86" t="str">
        <f t="shared" si="1"/>
        <v>N/A</v>
      </c>
      <c r="D22" s="83"/>
      <c r="E22" s="83">
        <v>625000</v>
      </c>
      <c r="F22" s="85" t="str">
        <f t="shared" si="2"/>
        <v>N/A</v>
      </c>
      <c r="G22" s="86" t="str">
        <f t="shared" si="3"/>
        <v>N/A</v>
      </c>
      <c r="H22" s="86"/>
    </row>
    <row r="23" spans="1:8" ht="12.75">
      <c r="A23" s="83">
        <v>1250000</v>
      </c>
      <c r="B23" s="85" t="str">
        <f t="shared" si="0"/>
        <v>N/A</v>
      </c>
      <c r="C23" s="86" t="str">
        <f t="shared" si="1"/>
        <v>N/A</v>
      </c>
      <c r="D23" s="83"/>
      <c r="E23" s="83">
        <v>1250000</v>
      </c>
      <c r="F23" s="85" t="str">
        <f t="shared" si="2"/>
        <v>N/A</v>
      </c>
      <c r="G23" s="86" t="str">
        <f t="shared" si="3"/>
        <v>N/A</v>
      </c>
      <c r="H23" s="86"/>
    </row>
    <row r="24" spans="1:8" ht="12.75">
      <c r="A24" s="83"/>
      <c r="B24" s="83"/>
      <c r="C24" s="83"/>
      <c r="D24" s="83"/>
      <c r="E24" s="83"/>
      <c r="F24" s="83"/>
      <c r="G24" s="83"/>
      <c r="H24" s="83"/>
    </row>
    <row r="25" spans="7:8" ht="12.75">
      <c r="G25" s="83"/>
      <c r="H25" s="83"/>
    </row>
  </sheetData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90" r:id="rId1"/>
  <headerFooter alignWithMargins="0">
    <oddHeader>&amp;L&amp;F    &amp;A&amp;R&amp;D</oddHeader>
    <oddFooter>&amp;R&amp;P  / 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/>
  <dimension ref="B2:AS43"/>
  <sheetViews>
    <sheetView workbookViewId="0" topLeftCell="A1">
      <selection activeCell="C4" sqref="C4"/>
    </sheetView>
  </sheetViews>
  <sheetFormatPr defaultColWidth="11.421875" defaultRowHeight="12.75"/>
  <cols>
    <col min="2" max="2" width="5.421875" style="0" customWidth="1"/>
    <col min="3" max="3" width="30.57421875" style="0" customWidth="1"/>
    <col min="6" max="6" width="17.8515625" style="0" customWidth="1"/>
    <col min="7" max="7" width="19.140625" style="0" customWidth="1"/>
    <col min="8" max="26" width="3.7109375" style="0" customWidth="1"/>
  </cols>
  <sheetData>
    <row r="2" spans="2:3" ht="13.5" thickBot="1">
      <c r="B2" s="359"/>
      <c r="C2" s="362"/>
    </row>
    <row r="3" spans="3:7" ht="13.5" thickBot="1">
      <c r="C3" s="319" t="s">
        <v>795</v>
      </c>
      <c r="D3" s="306" t="s">
        <v>790</v>
      </c>
      <c r="E3" s="306" t="s">
        <v>791</v>
      </c>
      <c r="F3" s="306" t="s">
        <v>793</v>
      </c>
      <c r="G3" s="306" t="s">
        <v>796</v>
      </c>
    </row>
    <row r="4" spans="3:7" ht="13.5" thickBot="1">
      <c r="C4" s="360" t="s">
        <v>840</v>
      </c>
      <c r="D4" s="361">
        <v>15</v>
      </c>
      <c r="E4" s="107" t="s">
        <v>789</v>
      </c>
      <c r="F4" s="355" t="s">
        <v>792</v>
      </c>
      <c r="G4" s="361" t="s">
        <v>797</v>
      </c>
    </row>
    <row r="5" spans="3:7" ht="13.5" thickBot="1">
      <c r="C5" s="363" t="s">
        <v>840</v>
      </c>
      <c r="D5" s="83">
        <v>6</v>
      </c>
      <c r="E5" s="83">
        <v>54</v>
      </c>
      <c r="F5" s="103" t="str">
        <f>IF(E5&lt;&gt;"",CHAR(E5),"")</f>
        <v>6</v>
      </c>
      <c r="G5" s="354" t="s">
        <v>841</v>
      </c>
    </row>
    <row r="6" spans="4:7" ht="12.75">
      <c r="D6" s="83" t="s">
        <v>391</v>
      </c>
      <c r="E6" s="83">
        <v>70</v>
      </c>
      <c r="F6" s="103" t="str">
        <f aca="true" t="shared" si="0" ref="F6:F43">IF(E6&lt;&gt;"",CHAR(E6),"")</f>
        <v>F</v>
      </c>
      <c r="G6" s="354" t="s">
        <v>842</v>
      </c>
    </row>
    <row r="7" spans="4:7" ht="12.75">
      <c r="D7" s="83">
        <v>8</v>
      </c>
      <c r="E7" s="83">
        <v>56</v>
      </c>
      <c r="F7" s="103" t="str">
        <f t="shared" si="0"/>
        <v>8</v>
      </c>
      <c r="G7" s="354" t="s">
        <v>843</v>
      </c>
    </row>
    <row r="8" spans="4:7" ht="12.75">
      <c r="D8" s="83">
        <v>4</v>
      </c>
      <c r="E8" s="83">
        <v>52</v>
      </c>
      <c r="F8" s="103" t="str">
        <f t="shared" si="0"/>
        <v>4</v>
      </c>
      <c r="G8" s="354" t="s">
        <v>844</v>
      </c>
    </row>
    <row r="9" spans="4:7" ht="12.75">
      <c r="D9" s="83" t="s">
        <v>845</v>
      </c>
      <c r="E9" s="83">
        <v>45</v>
      </c>
      <c r="F9" s="103" t="str">
        <f t="shared" si="0"/>
        <v>-</v>
      </c>
      <c r="G9" s="354" t="s">
        <v>846</v>
      </c>
    </row>
    <row r="10" spans="4:7" ht="12.75">
      <c r="D10" s="83">
        <v>2</v>
      </c>
      <c r="E10" s="83">
        <v>50</v>
      </c>
      <c r="F10" s="103" t="str">
        <f t="shared" si="0"/>
        <v>2</v>
      </c>
      <c r="G10" s="354" t="s">
        <v>847</v>
      </c>
    </row>
    <row r="11" spans="4:7" ht="12.75">
      <c r="D11" s="83">
        <v>0</v>
      </c>
      <c r="E11" s="83">
        <v>48</v>
      </c>
      <c r="F11" s="103" t="str">
        <f t="shared" si="0"/>
        <v>0</v>
      </c>
      <c r="G11" s="354" t="s">
        <v>848</v>
      </c>
    </row>
    <row r="12" spans="4:45" ht="12.75">
      <c r="D12" s="83" t="s">
        <v>798</v>
      </c>
      <c r="E12" s="83">
        <v>32</v>
      </c>
      <c r="F12" s="103" t="str">
        <f t="shared" si="0"/>
        <v> </v>
      </c>
      <c r="G12" s="390" t="s">
        <v>849</v>
      </c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</row>
    <row r="13" spans="4:21" ht="12.75">
      <c r="D13" s="83">
        <v>0</v>
      </c>
      <c r="E13" s="83">
        <v>48</v>
      </c>
      <c r="F13" s="103" t="str">
        <f t="shared" si="0"/>
        <v>0</v>
      </c>
      <c r="G13" s="354" t="s">
        <v>850</v>
      </c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</row>
    <row r="14" spans="4:7" ht="12.75">
      <c r="D14" s="83">
        <v>1</v>
      </c>
      <c r="E14" s="83">
        <v>49</v>
      </c>
      <c r="F14" s="103" t="str">
        <f t="shared" si="0"/>
        <v>1</v>
      </c>
      <c r="G14" s="354" t="s">
        <v>851</v>
      </c>
    </row>
    <row r="15" spans="4:7" ht="12.75">
      <c r="D15" s="83">
        <v>3</v>
      </c>
      <c r="E15" s="83">
        <v>51</v>
      </c>
      <c r="F15" s="103" t="str">
        <f t="shared" si="0"/>
        <v>3</v>
      </c>
      <c r="G15" s="354" t="s">
        <v>852</v>
      </c>
    </row>
    <row r="16" spans="4:7" ht="12.75">
      <c r="D16" s="83">
        <v>0</v>
      </c>
      <c r="E16" s="83">
        <v>48</v>
      </c>
      <c r="F16" s="103" t="str">
        <f t="shared" si="0"/>
        <v>0</v>
      </c>
      <c r="G16" s="354" t="s">
        <v>853</v>
      </c>
    </row>
    <row r="17" spans="4:7" ht="12.75">
      <c r="D17" s="83" t="s">
        <v>854</v>
      </c>
      <c r="E17" s="83">
        <v>71</v>
      </c>
      <c r="F17" s="103" t="str">
        <f t="shared" si="0"/>
        <v>G</v>
      </c>
      <c r="G17" s="354" t="s">
        <v>855</v>
      </c>
    </row>
    <row r="18" spans="4:7" ht="12.75">
      <c r="D18" s="83">
        <v>8</v>
      </c>
      <c r="E18" s="83">
        <v>56</v>
      </c>
      <c r="F18" s="103" t="str">
        <f t="shared" si="0"/>
        <v>8</v>
      </c>
      <c r="G18" s="354" t="s">
        <v>856</v>
      </c>
    </row>
    <row r="19" spans="4:7" ht="12.75">
      <c r="D19" s="83">
        <v>3</v>
      </c>
      <c r="E19" s="83">
        <v>51</v>
      </c>
      <c r="F19" s="103" t="str">
        <f t="shared" si="0"/>
        <v>3</v>
      </c>
      <c r="G19" s="354" t="s">
        <v>857</v>
      </c>
    </row>
    <row r="20" spans="4:7" ht="12.75">
      <c r="D20" s="83"/>
      <c r="E20" s="83"/>
      <c r="F20" s="103">
        <f t="shared" si="0"/>
      </c>
      <c r="G20" s="354"/>
    </row>
    <row r="21" spans="4:7" ht="12.75">
      <c r="D21" s="83"/>
      <c r="E21" s="83"/>
      <c r="F21" s="103">
        <f t="shared" si="0"/>
      </c>
      <c r="G21" s="354"/>
    </row>
    <row r="22" spans="4:7" ht="12.75">
      <c r="D22" s="83"/>
      <c r="E22" s="83"/>
      <c r="F22" s="103">
        <f t="shared" si="0"/>
      </c>
      <c r="G22" s="354"/>
    </row>
    <row r="23" spans="4:7" ht="12.75">
      <c r="D23" s="83"/>
      <c r="E23" s="83"/>
      <c r="F23" s="103">
        <f t="shared" si="0"/>
      </c>
      <c r="G23" s="354"/>
    </row>
    <row r="24" spans="4:7" ht="12.75">
      <c r="D24" s="83"/>
      <c r="E24" s="83"/>
      <c r="F24" s="103">
        <f t="shared" si="0"/>
      </c>
      <c r="G24" s="354"/>
    </row>
    <row r="25" spans="4:7" ht="12.75">
      <c r="D25" s="83"/>
      <c r="E25" s="83"/>
      <c r="F25" s="103">
        <f t="shared" si="0"/>
      </c>
      <c r="G25" s="354"/>
    </row>
    <row r="26" spans="4:7" ht="12.75">
      <c r="D26" s="83"/>
      <c r="E26" s="83"/>
      <c r="F26" s="103">
        <f t="shared" si="0"/>
      </c>
      <c r="G26" s="354"/>
    </row>
    <row r="27" spans="4:7" ht="12.75">
      <c r="D27" s="83"/>
      <c r="E27" s="83"/>
      <c r="F27" s="103">
        <f t="shared" si="0"/>
      </c>
      <c r="G27" s="354"/>
    </row>
    <row r="28" spans="4:7" ht="12.75">
      <c r="D28" s="83"/>
      <c r="E28" s="83"/>
      <c r="F28" s="103">
        <f t="shared" si="0"/>
      </c>
      <c r="G28" s="354"/>
    </row>
    <row r="29" spans="4:7" ht="12.75">
      <c r="D29" s="83"/>
      <c r="E29" s="83"/>
      <c r="F29" s="103">
        <f t="shared" si="0"/>
      </c>
      <c r="G29" s="354"/>
    </row>
    <row r="30" spans="4:7" ht="12.75">
      <c r="D30" s="83"/>
      <c r="E30" s="83"/>
      <c r="F30" s="103">
        <f t="shared" si="0"/>
      </c>
      <c r="G30" s="354"/>
    </row>
    <row r="31" spans="4:7" ht="12.75">
      <c r="D31" s="83"/>
      <c r="E31" s="83"/>
      <c r="F31" s="103">
        <f t="shared" si="0"/>
      </c>
      <c r="G31" s="354"/>
    </row>
    <row r="32" spans="4:7" ht="12.75">
      <c r="D32" s="83"/>
      <c r="E32" s="83"/>
      <c r="F32" s="103">
        <f t="shared" si="0"/>
      </c>
      <c r="G32" s="354"/>
    </row>
    <row r="33" spans="4:7" ht="12.75">
      <c r="D33" s="83"/>
      <c r="E33" s="83"/>
      <c r="F33" s="103">
        <f t="shared" si="0"/>
      </c>
      <c r="G33" s="354"/>
    </row>
    <row r="34" spans="4:7" ht="12.75">
      <c r="D34" s="83"/>
      <c r="E34" s="83"/>
      <c r="F34" s="103">
        <f t="shared" si="0"/>
      </c>
      <c r="G34" s="354"/>
    </row>
    <row r="35" spans="4:7" ht="12.75">
      <c r="D35" s="83"/>
      <c r="E35" s="83"/>
      <c r="F35" s="103">
        <f t="shared" si="0"/>
      </c>
      <c r="G35" s="354"/>
    </row>
    <row r="36" spans="4:7" ht="12.75">
      <c r="D36" s="83"/>
      <c r="E36" s="83"/>
      <c r="F36" s="103">
        <f t="shared" si="0"/>
      </c>
      <c r="G36" s="354"/>
    </row>
    <row r="37" spans="4:7" ht="12.75">
      <c r="D37" s="83"/>
      <c r="E37" s="83"/>
      <c r="F37" s="103">
        <f t="shared" si="0"/>
      </c>
      <c r="G37" s="354"/>
    </row>
    <row r="38" spans="4:7" ht="12.75">
      <c r="D38" s="83"/>
      <c r="E38" s="83"/>
      <c r="F38" s="103">
        <f t="shared" si="0"/>
      </c>
      <c r="G38" s="354"/>
    </row>
    <row r="39" spans="4:7" ht="12.75">
      <c r="D39" s="83"/>
      <c r="E39" s="83"/>
      <c r="F39" s="103">
        <f t="shared" si="0"/>
      </c>
      <c r="G39" s="354"/>
    </row>
    <row r="40" spans="4:7" ht="12.75">
      <c r="D40" s="320"/>
      <c r="E40" s="357"/>
      <c r="F40" s="103">
        <f t="shared" si="0"/>
      </c>
      <c r="G40" s="354"/>
    </row>
    <row r="41" spans="4:7" ht="12.75">
      <c r="D41" s="320"/>
      <c r="E41" s="357"/>
      <c r="F41" s="103">
        <f t="shared" si="0"/>
      </c>
      <c r="G41" s="354"/>
    </row>
    <row r="42" spans="4:7" ht="12.75">
      <c r="D42" s="320"/>
      <c r="E42" s="357"/>
      <c r="F42" s="103">
        <f t="shared" si="0"/>
      </c>
      <c r="G42" s="354"/>
    </row>
    <row r="43" spans="4:7" ht="13.5" thickBot="1">
      <c r="D43" s="356"/>
      <c r="E43" s="326"/>
      <c r="F43" s="103">
        <f t="shared" si="0"/>
      </c>
      <c r="G43" s="354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2:E60"/>
  <sheetViews>
    <sheetView workbookViewId="0" topLeftCell="A19">
      <selection activeCell="J52" sqref="J52"/>
    </sheetView>
  </sheetViews>
  <sheetFormatPr defaultColWidth="11.421875" defaultRowHeight="12.75"/>
  <cols>
    <col min="1" max="1" width="17.140625" style="0" customWidth="1"/>
    <col min="2" max="2" width="13.00390625" style="0" customWidth="1"/>
  </cols>
  <sheetData>
    <row r="2" spans="1:3" ht="12.75">
      <c r="A2" t="s">
        <v>89</v>
      </c>
      <c r="B2" t="s">
        <v>88</v>
      </c>
      <c r="C2" t="s">
        <v>833</v>
      </c>
    </row>
    <row r="3" spans="1:5" ht="12.75">
      <c r="A3" t="s">
        <v>810</v>
      </c>
      <c r="B3" t="s">
        <v>88</v>
      </c>
      <c r="C3" t="s">
        <v>89</v>
      </c>
      <c r="E3" t="s">
        <v>811</v>
      </c>
    </row>
    <row r="4" spans="1:5" ht="12.75">
      <c r="A4" t="s">
        <v>812</v>
      </c>
      <c r="B4" t="s">
        <v>88</v>
      </c>
      <c r="C4" t="s">
        <v>91</v>
      </c>
      <c r="E4" t="s">
        <v>813</v>
      </c>
    </row>
    <row r="5" spans="1:5" ht="12.75">
      <c r="A5" t="s">
        <v>799</v>
      </c>
      <c r="B5" t="s">
        <v>88</v>
      </c>
      <c r="C5" t="s">
        <v>94</v>
      </c>
      <c r="E5" t="s">
        <v>800</v>
      </c>
    </row>
    <row r="6" spans="1:5" ht="12.75">
      <c r="A6" t="s">
        <v>90</v>
      </c>
      <c r="B6" t="s">
        <v>88</v>
      </c>
      <c r="C6" t="s">
        <v>96</v>
      </c>
      <c r="E6" t="s">
        <v>814</v>
      </c>
    </row>
    <row r="7" spans="1:3" ht="12.75">
      <c r="A7" t="s">
        <v>801</v>
      </c>
      <c r="B7" t="s">
        <v>88</v>
      </c>
      <c r="C7" t="s">
        <v>98</v>
      </c>
    </row>
    <row r="8" spans="1:3" ht="12.75">
      <c r="A8" t="s">
        <v>95</v>
      </c>
      <c r="B8" t="s">
        <v>88</v>
      </c>
      <c r="C8" t="s">
        <v>100</v>
      </c>
    </row>
    <row r="9" spans="1:3" ht="12.75">
      <c r="A9" t="s">
        <v>97</v>
      </c>
      <c r="B9" t="s">
        <v>88</v>
      </c>
      <c r="C9" t="s">
        <v>102</v>
      </c>
    </row>
    <row r="10" spans="1:3" ht="12.75">
      <c r="A10" t="s">
        <v>99</v>
      </c>
      <c r="B10" t="s">
        <v>88</v>
      </c>
      <c r="C10" t="s">
        <v>105</v>
      </c>
    </row>
    <row r="11" spans="1:3" ht="12.75">
      <c r="A11" t="s">
        <v>815</v>
      </c>
      <c r="B11" t="s">
        <v>88</v>
      </c>
      <c r="C11" t="s">
        <v>107</v>
      </c>
    </row>
    <row r="12" spans="1:3" ht="12.75">
      <c r="A12" t="s">
        <v>816</v>
      </c>
      <c r="B12" t="s">
        <v>88</v>
      </c>
      <c r="C12" t="s">
        <v>109</v>
      </c>
    </row>
    <row r="13" spans="1:3" ht="12.75">
      <c r="A13" t="s">
        <v>817</v>
      </c>
      <c r="B13" t="s">
        <v>88</v>
      </c>
      <c r="C13" t="s">
        <v>111</v>
      </c>
    </row>
    <row r="14" spans="1:3" ht="12.75">
      <c r="A14" t="s">
        <v>818</v>
      </c>
      <c r="B14" t="s">
        <v>88</v>
      </c>
      <c r="C14" t="s">
        <v>114</v>
      </c>
    </row>
    <row r="15" spans="1:3" ht="12.75">
      <c r="A15" t="s">
        <v>819</v>
      </c>
      <c r="B15" t="s">
        <v>88</v>
      </c>
      <c r="C15" t="s">
        <v>117</v>
      </c>
    </row>
    <row r="16" spans="1:5" ht="12.75">
      <c r="A16" t="s">
        <v>820</v>
      </c>
      <c r="B16" t="s">
        <v>88</v>
      </c>
      <c r="C16" t="s">
        <v>120</v>
      </c>
      <c r="E16" t="s">
        <v>821</v>
      </c>
    </row>
    <row r="17" spans="1:3" ht="12.75">
      <c r="A17" t="s">
        <v>822</v>
      </c>
      <c r="B17" t="s">
        <v>88</v>
      </c>
      <c r="C17" t="s">
        <v>123</v>
      </c>
    </row>
    <row r="18" spans="1:3" ht="12.75">
      <c r="A18" t="s">
        <v>823</v>
      </c>
      <c r="B18" t="s">
        <v>88</v>
      </c>
      <c r="C18" t="s">
        <v>125</v>
      </c>
    </row>
    <row r="19" spans="1:3" ht="12.75">
      <c r="A19" t="s">
        <v>824</v>
      </c>
      <c r="B19" t="s">
        <v>88</v>
      </c>
      <c r="C19" t="s">
        <v>127</v>
      </c>
    </row>
    <row r="20" spans="1:3" ht="12.75">
      <c r="A20" t="s">
        <v>825</v>
      </c>
      <c r="B20" t="s">
        <v>88</v>
      </c>
      <c r="C20" t="s">
        <v>129</v>
      </c>
    </row>
    <row r="21" spans="1:3" ht="12.75">
      <c r="A21" t="s">
        <v>826</v>
      </c>
      <c r="B21" t="s">
        <v>88</v>
      </c>
      <c r="C21" t="s">
        <v>131</v>
      </c>
    </row>
    <row r="22" spans="1:3" ht="12.75">
      <c r="A22" t="s">
        <v>827</v>
      </c>
      <c r="B22" t="s">
        <v>88</v>
      </c>
      <c r="C22" t="s">
        <v>133</v>
      </c>
    </row>
    <row r="23" spans="1:3" ht="12.75">
      <c r="A23" t="s">
        <v>828</v>
      </c>
      <c r="B23" t="s">
        <v>88</v>
      </c>
      <c r="C23" t="s">
        <v>135</v>
      </c>
    </row>
    <row r="24" spans="1:3" ht="12.75">
      <c r="A24" t="s">
        <v>829</v>
      </c>
      <c r="B24" t="s">
        <v>88</v>
      </c>
      <c r="C24" t="s">
        <v>137</v>
      </c>
    </row>
    <row r="25" spans="1:3" ht="12.75">
      <c r="A25" t="s">
        <v>830</v>
      </c>
      <c r="B25" t="s">
        <v>88</v>
      </c>
      <c r="C25" t="s">
        <v>140</v>
      </c>
    </row>
    <row r="26" spans="1:5" ht="12.75">
      <c r="A26" t="s">
        <v>802</v>
      </c>
      <c r="B26" t="s">
        <v>88</v>
      </c>
      <c r="C26" t="s">
        <v>142</v>
      </c>
      <c r="E26" t="s">
        <v>205</v>
      </c>
    </row>
    <row r="27" spans="1:5" ht="12.75">
      <c r="A27" t="s">
        <v>803</v>
      </c>
      <c r="B27" t="s">
        <v>88</v>
      </c>
      <c r="C27" t="s">
        <v>144</v>
      </c>
      <c r="E27" t="s">
        <v>208</v>
      </c>
    </row>
    <row r="28" spans="1:5" ht="12.75">
      <c r="A28" t="s">
        <v>804</v>
      </c>
      <c r="B28" t="s">
        <v>88</v>
      </c>
      <c r="C28" t="s">
        <v>146</v>
      </c>
      <c r="E28" t="s">
        <v>211</v>
      </c>
    </row>
    <row r="29" spans="1:5" ht="12.75">
      <c r="A29" t="s">
        <v>212</v>
      </c>
      <c r="B29" t="s">
        <v>88</v>
      </c>
      <c r="C29" t="s">
        <v>149</v>
      </c>
      <c r="E29" t="s">
        <v>214</v>
      </c>
    </row>
    <row r="30" spans="1:3" ht="12.75">
      <c r="A30" t="s">
        <v>136</v>
      </c>
      <c r="B30" t="s">
        <v>88</v>
      </c>
      <c r="C30" t="s">
        <v>151</v>
      </c>
    </row>
    <row r="31" spans="1:3" ht="12.75">
      <c r="A31" t="s">
        <v>805</v>
      </c>
      <c r="B31" t="s">
        <v>88</v>
      </c>
      <c r="C31" t="s">
        <v>153</v>
      </c>
    </row>
    <row r="32" spans="1:3" ht="12.75">
      <c r="A32" t="s">
        <v>806</v>
      </c>
      <c r="B32" t="s">
        <v>88</v>
      </c>
      <c r="C32" t="s">
        <v>155</v>
      </c>
    </row>
    <row r="33" spans="1:5" ht="12.75">
      <c r="A33" t="s">
        <v>831</v>
      </c>
      <c r="B33" t="s">
        <v>88</v>
      </c>
      <c r="C33" t="s">
        <v>157</v>
      </c>
      <c r="E33" t="s">
        <v>832</v>
      </c>
    </row>
    <row r="34" spans="1:3" ht="12.75">
      <c r="A34" t="s">
        <v>148</v>
      </c>
      <c r="B34" t="s">
        <v>88</v>
      </c>
      <c r="C34" t="s">
        <v>159</v>
      </c>
    </row>
    <row r="35" spans="1:3" ht="12.75">
      <c r="A35" t="s">
        <v>150</v>
      </c>
      <c r="B35" t="s">
        <v>88</v>
      </c>
      <c r="C35" t="s">
        <v>161</v>
      </c>
    </row>
    <row r="36" spans="1:3" ht="12.75">
      <c r="A36" t="s">
        <v>152</v>
      </c>
      <c r="B36" t="s">
        <v>88</v>
      </c>
      <c r="C36" t="s">
        <v>163</v>
      </c>
    </row>
    <row r="37" spans="1:3" ht="12.75">
      <c r="A37" t="s">
        <v>154</v>
      </c>
      <c r="B37" t="s">
        <v>88</v>
      </c>
      <c r="C37" t="s">
        <v>165</v>
      </c>
    </row>
    <row r="38" spans="1:3" ht="12.75">
      <c r="A38" t="s">
        <v>156</v>
      </c>
      <c r="B38" t="s">
        <v>88</v>
      </c>
      <c r="C38" t="s">
        <v>167</v>
      </c>
    </row>
    <row r="39" spans="1:3" ht="12.75">
      <c r="A39" t="s">
        <v>158</v>
      </c>
      <c r="B39" t="s">
        <v>88</v>
      </c>
      <c r="C39" t="s">
        <v>169</v>
      </c>
    </row>
    <row r="40" spans="1:3" ht="12.75">
      <c r="A40" t="s">
        <v>160</v>
      </c>
      <c r="B40" t="s">
        <v>88</v>
      </c>
      <c r="C40" t="s">
        <v>171</v>
      </c>
    </row>
    <row r="41" spans="1:3" ht="12.75">
      <c r="A41" t="s">
        <v>162</v>
      </c>
      <c r="B41" t="s">
        <v>88</v>
      </c>
      <c r="C41" t="s">
        <v>173</v>
      </c>
    </row>
    <row r="42" spans="1:3" ht="12.75">
      <c r="A42" t="s">
        <v>164</v>
      </c>
      <c r="B42" t="s">
        <v>88</v>
      </c>
      <c r="C42" t="s">
        <v>175</v>
      </c>
    </row>
    <row r="43" spans="1:3" ht="12.75">
      <c r="A43" t="s">
        <v>166</v>
      </c>
      <c r="B43" t="s">
        <v>88</v>
      </c>
      <c r="C43" t="s">
        <v>178</v>
      </c>
    </row>
    <row r="44" spans="1:3" ht="12.75">
      <c r="A44" t="s">
        <v>168</v>
      </c>
      <c r="B44" t="s">
        <v>88</v>
      </c>
      <c r="C44" t="s">
        <v>180</v>
      </c>
    </row>
    <row r="45" spans="1:3" ht="12.75">
      <c r="A45" t="s">
        <v>807</v>
      </c>
      <c r="B45" t="s">
        <v>88</v>
      </c>
      <c r="C45" t="s">
        <v>182</v>
      </c>
    </row>
    <row r="46" spans="1:3" ht="12.75">
      <c r="A46" t="s">
        <v>172</v>
      </c>
      <c r="B46" t="s">
        <v>88</v>
      </c>
      <c r="C46" t="s">
        <v>184</v>
      </c>
    </row>
    <row r="47" spans="1:5" ht="12.75">
      <c r="A47" t="s">
        <v>174</v>
      </c>
      <c r="B47" t="s">
        <v>88</v>
      </c>
      <c r="C47" t="s">
        <v>186</v>
      </c>
      <c r="E47" t="s">
        <v>176</v>
      </c>
    </row>
    <row r="48" spans="1:3" ht="12.75">
      <c r="A48" t="s">
        <v>177</v>
      </c>
      <c r="B48" t="s">
        <v>88</v>
      </c>
      <c r="C48" t="s">
        <v>188</v>
      </c>
    </row>
    <row r="49" spans="1:3" ht="12.75">
      <c r="A49" t="s">
        <v>179</v>
      </c>
      <c r="B49" t="s">
        <v>88</v>
      </c>
      <c r="C49" t="s">
        <v>190</v>
      </c>
    </row>
    <row r="50" spans="1:3" ht="12.75">
      <c r="A50" t="s">
        <v>181</v>
      </c>
      <c r="B50" t="s">
        <v>88</v>
      </c>
      <c r="C50" t="s">
        <v>192</v>
      </c>
    </row>
    <row r="51" spans="1:3" ht="12.75">
      <c r="A51" t="s">
        <v>183</v>
      </c>
      <c r="B51" t="s">
        <v>88</v>
      </c>
      <c r="C51" t="s">
        <v>194</v>
      </c>
    </row>
    <row r="52" spans="1:3" ht="12.75">
      <c r="A52" t="s">
        <v>185</v>
      </c>
      <c r="B52" t="s">
        <v>88</v>
      </c>
      <c r="C52" t="s">
        <v>196</v>
      </c>
    </row>
    <row r="53" spans="1:3" ht="12.75">
      <c r="A53" t="s">
        <v>187</v>
      </c>
      <c r="B53" t="s">
        <v>88</v>
      </c>
      <c r="C53" t="s">
        <v>199</v>
      </c>
    </row>
    <row r="54" spans="1:3" ht="12.75">
      <c r="A54" t="s">
        <v>189</v>
      </c>
      <c r="B54" t="s">
        <v>88</v>
      </c>
      <c r="C54" t="s">
        <v>201</v>
      </c>
    </row>
    <row r="55" spans="1:3" ht="12.75">
      <c r="A55" t="s">
        <v>191</v>
      </c>
      <c r="B55" t="s">
        <v>88</v>
      </c>
      <c r="C55" t="s">
        <v>204</v>
      </c>
    </row>
    <row r="56" spans="1:3" ht="12.75">
      <c r="A56" t="s">
        <v>193</v>
      </c>
      <c r="B56" t="s">
        <v>88</v>
      </c>
      <c r="C56" t="s">
        <v>207</v>
      </c>
    </row>
    <row r="57" spans="1:3" ht="12.75">
      <c r="A57" t="s">
        <v>808</v>
      </c>
      <c r="B57" t="s">
        <v>88</v>
      </c>
      <c r="C57" t="s">
        <v>210</v>
      </c>
    </row>
    <row r="58" spans="1:3" ht="12.75">
      <c r="A58" t="s">
        <v>809</v>
      </c>
      <c r="B58" t="s">
        <v>88</v>
      </c>
      <c r="C58" t="s">
        <v>216</v>
      </c>
    </row>
    <row r="59" spans="1:3" ht="12.75">
      <c r="A59" t="s">
        <v>195</v>
      </c>
      <c r="B59" t="s">
        <v>88</v>
      </c>
      <c r="C59" t="s">
        <v>219</v>
      </c>
    </row>
    <row r="60" spans="1:3" ht="12.75">
      <c r="A60" t="s">
        <v>198</v>
      </c>
      <c r="B60" t="s">
        <v>88</v>
      </c>
      <c r="C60" t="s">
        <v>222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V36"/>
  <sheetViews>
    <sheetView showGridLines="0" workbookViewId="0" topLeftCell="A1">
      <selection activeCell="C30" sqref="C30"/>
    </sheetView>
  </sheetViews>
  <sheetFormatPr defaultColWidth="11.421875" defaultRowHeight="12.75"/>
  <cols>
    <col min="1" max="1" width="4.28125" style="0" customWidth="1"/>
    <col min="2" max="2" width="4.28125" style="0" bestFit="1" customWidth="1"/>
    <col min="3" max="3" width="12.421875" style="79" customWidth="1"/>
    <col min="4" max="4" width="4.7109375" style="0" customWidth="1"/>
    <col min="5" max="5" width="4.8515625" style="0" customWidth="1"/>
    <col min="6" max="6" width="10.8515625" style="0" bestFit="1" customWidth="1"/>
    <col min="7" max="7" width="6.8515625" style="0" bestFit="1" customWidth="1"/>
    <col min="8" max="8" width="9.421875" style="0" customWidth="1"/>
    <col min="9" max="9" width="8.57421875" style="0" bestFit="1" customWidth="1"/>
    <col min="10" max="10" width="3.8515625" style="0" customWidth="1"/>
    <col min="11" max="11" width="9.421875" style="0" bestFit="1" customWidth="1"/>
    <col min="12" max="12" width="3.7109375" style="0" customWidth="1"/>
    <col min="13" max="13" width="9.421875" style="0" customWidth="1"/>
    <col min="14" max="14" width="3.8515625" style="0" bestFit="1" customWidth="1"/>
    <col min="15" max="15" width="9.57421875" style="0" customWidth="1"/>
    <col min="16" max="16" width="3.8515625" style="0" bestFit="1" customWidth="1"/>
    <col min="17" max="17" width="9.421875" style="0" customWidth="1"/>
    <col min="18" max="18" width="3.8515625" style="0" bestFit="1" customWidth="1"/>
    <col min="19" max="19" width="9.421875" style="0" customWidth="1"/>
    <col min="20" max="20" width="4.00390625" style="0" customWidth="1"/>
    <col min="21" max="21" width="9.421875" style="0" customWidth="1"/>
    <col min="22" max="22" width="4.00390625" style="0" customWidth="1"/>
  </cols>
  <sheetData>
    <row r="1" spans="1:22" ht="12.75">
      <c r="A1" s="438" t="s">
        <v>5</v>
      </c>
      <c r="B1" s="436" t="s">
        <v>6</v>
      </c>
      <c r="C1" s="440" t="s">
        <v>7</v>
      </c>
      <c r="D1" s="436" t="s">
        <v>8</v>
      </c>
      <c r="E1" s="436" t="s">
        <v>9</v>
      </c>
      <c r="F1" s="436" t="s">
        <v>10</v>
      </c>
      <c r="G1" s="436" t="s">
        <v>11</v>
      </c>
      <c r="H1" s="434" t="s">
        <v>12</v>
      </c>
      <c r="I1" s="431" t="s">
        <v>13</v>
      </c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3"/>
    </row>
    <row r="2" spans="1:22" ht="13.5" thickBot="1">
      <c r="A2" s="439"/>
      <c r="B2" s="437"/>
      <c r="C2" s="441"/>
      <c r="D2" s="437"/>
      <c r="E2" s="437"/>
      <c r="F2" s="437"/>
      <c r="G2" s="437"/>
      <c r="H2" s="435"/>
      <c r="I2" s="2">
        <v>384</v>
      </c>
      <c r="J2" s="3" t="s">
        <v>14</v>
      </c>
      <c r="K2" s="4">
        <v>512</v>
      </c>
      <c r="L2" s="5" t="s">
        <v>14</v>
      </c>
      <c r="M2" s="2">
        <v>1024</v>
      </c>
      <c r="N2" s="3" t="s">
        <v>14</v>
      </c>
      <c r="O2" s="4">
        <v>2048</v>
      </c>
      <c r="P2" s="5" t="s">
        <v>14</v>
      </c>
      <c r="Q2" s="2">
        <v>4096</v>
      </c>
      <c r="R2" s="3" t="s">
        <v>14</v>
      </c>
      <c r="S2" s="4">
        <v>8192</v>
      </c>
      <c r="T2" s="5" t="s">
        <v>14</v>
      </c>
      <c r="U2" s="2">
        <v>16384</v>
      </c>
      <c r="V2" s="3" t="s">
        <v>14</v>
      </c>
    </row>
    <row r="3" spans="1:22" ht="12.75">
      <c r="A3" s="6">
        <v>6</v>
      </c>
      <c r="B3" s="7"/>
      <c r="C3" s="7"/>
      <c r="D3" s="7"/>
      <c r="E3" s="7"/>
      <c r="F3" s="7"/>
      <c r="G3" s="7" t="s">
        <v>15</v>
      </c>
      <c r="H3" s="8" t="s">
        <v>16</v>
      </c>
      <c r="I3" s="9"/>
      <c r="J3" s="10"/>
      <c r="K3" s="11" t="s">
        <v>17</v>
      </c>
      <c r="L3" s="12">
        <v>25</v>
      </c>
      <c r="M3" s="6" t="s">
        <v>18</v>
      </c>
      <c r="N3" s="8">
        <v>41</v>
      </c>
      <c r="O3" s="9"/>
      <c r="P3" s="10"/>
      <c r="Q3" s="13"/>
      <c r="R3" s="10"/>
      <c r="S3" s="9"/>
      <c r="T3" s="10"/>
      <c r="U3" s="9"/>
      <c r="V3" s="10"/>
    </row>
    <row r="4" spans="1:22" ht="13.5" thickBot="1">
      <c r="A4" s="14">
        <v>6</v>
      </c>
      <c r="B4" s="15">
        <v>4</v>
      </c>
      <c r="C4" s="15"/>
      <c r="D4" s="15"/>
      <c r="E4" s="15"/>
      <c r="F4" s="15"/>
      <c r="G4" s="15" t="s">
        <v>15</v>
      </c>
      <c r="H4" s="16" t="s">
        <v>19</v>
      </c>
      <c r="I4" s="17"/>
      <c r="J4" s="18"/>
      <c r="K4" s="19"/>
      <c r="L4" s="20"/>
      <c r="M4" s="14" t="s">
        <v>20</v>
      </c>
      <c r="N4" s="21">
        <v>128</v>
      </c>
      <c r="O4" s="22" t="s">
        <v>21</v>
      </c>
      <c r="P4" s="23">
        <v>128</v>
      </c>
      <c r="Q4" s="17"/>
      <c r="R4" s="18"/>
      <c r="S4" s="17"/>
      <c r="T4" s="18"/>
      <c r="U4" s="17"/>
      <c r="V4" s="18"/>
    </row>
    <row r="5" spans="1:22" ht="13.5" thickBot="1">
      <c r="A5" s="24"/>
      <c r="B5" s="25"/>
      <c r="C5" s="25"/>
      <c r="D5" s="25"/>
      <c r="E5" s="25"/>
      <c r="F5" s="25"/>
      <c r="G5" s="25"/>
      <c r="H5" s="25"/>
      <c r="I5" s="17"/>
      <c r="J5" s="18"/>
      <c r="K5" s="24"/>
      <c r="L5" s="26"/>
      <c r="M5" s="24"/>
      <c r="N5" s="26"/>
      <c r="O5" s="25"/>
      <c r="P5" s="25"/>
      <c r="Q5" s="17"/>
      <c r="R5" s="18"/>
      <c r="S5" s="24"/>
      <c r="T5" s="26"/>
      <c r="U5" s="24"/>
      <c r="V5" s="26"/>
    </row>
    <row r="6" spans="1:22" ht="12.75">
      <c r="A6" s="6">
        <v>12</v>
      </c>
      <c r="B6" s="7"/>
      <c r="C6" s="7"/>
      <c r="D6" s="7"/>
      <c r="E6" s="7"/>
      <c r="F6" s="7"/>
      <c r="G6" s="7">
        <v>1</v>
      </c>
      <c r="H6" s="8" t="s">
        <v>16</v>
      </c>
      <c r="I6" s="6" t="s">
        <v>22</v>
      </c>
      <c r="J6" s="12">
        <v>25</v>
      </c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</row>
    <row r="7" spans="1:22" ht="13.5" thickBot="1">
      <c r="A7" s="14">
        <v>12</v>
      </c>
      <c r="B7" s="15"/>
      <c r="C7" s="15"/>
      <c r="D7" s="15"/>
      <c r="E7" s="15"/>
      <c r="F7" s="15"/>
      <c r="G7" s="15" t="s">
        <v>15</v>
      </c>
      <c r="H7" s="16" t="s">
        <v>16</v>
      </c>
      <c r="I7" s="19"/>
      <c r="J7" s="20"/>
      <c r="K7" s="14" t="s">
        <v>23</v>
      </c>
      <c r="L7" s="21">
        <v>25</v>
      </c>
      <c r="M7" s="14" t="s">
        <v>24</v>
      </c>
      <c r="N7" s="21">
        <v>25</v>
      </c>
      <c r="O7" s="29" t="s">
        <v>25</v>
      </c>
      <c r="P7" s="16">
        <v>73</v>
      </c>
      <c r="Q7" s="17"/>
      <c r="R7" s="18"/>
      <c r="S7" s="17"/>
      <c r="T7" s="18"/>
      <c r="U7" s="17"/>
      <c r="V7" s="18"/>
    </row>
    <row r="8" spans="1:22" ht="13.5" thickBot="1">
      <c r="A8" s="24"/>
      <c r="B8" s="25"/>
      <c r="C8" s="25"/>
      <c r="D8" s="25"/>
      <c r="E8" s="25"/>
      <c r="F8" s="25"/>
      <c r="G8" s="25"/>
      <c r="H8" s="25"/>
      <c r="I8" s="30"/>
      <c r="J8" s="31"/>
      <c r="K8" s="30"/>
      <c r="L8" s="31"/>
      <c r="M8" s="24"/>
      <c r="N8" s="26"/>
      <c r="O8" s="32"/>
      <c r="P8" s="32"/>
      <c r="Q8" s="24"/>
      <c r="R8" s="26"/>
      <c r="S8" s="24"/>
      <c r="T8" s="26"/>
      <c r="U8" s="24"/>
      <c r="V8" s="26"/>
    </row>
    <row r="9" spans="1:22" ht="12.75" customHeight="1">
      <c r="A9" s="33">
        <v>13</v>
      </c>
      <c r="B9" s="34"/>
      <c r="C9" s="35"/>
      <c r="D9" s="34"/>
      <c r="E9" s="35"/>
      <c r="F9" s="34"/>
      <c r="G9" s="34" t="s">
        <v>15</v>
      </c>
      <c r="H9" s="35" t="s">
        <v>19</v>
      </c>
      <c r="I9" s="30"/>
      <c r="J9" s="32"/>
      <c r="K9" s="30" t="s">
        <v>26</v>
      </c>
      <c r="L9" s="36">
        <v>80</v>
      </c>
      <c r="M9" s="37" t="s">
        <v>27</v>
      </c>
      <c r="N9" s="32">
        <v>80</v>
      </c>
      <c r="O9" s="30" t="s">
        <v>28</v>
      </c>
      <c r="P9" s="36">
        <v>128</v>
      </c>
      <c r="Q9" s="32"/>
      <c r="R9" s="31"/>
      <c r="S9" s="30"/>
      <c r="T9" s="31"/>
      <c r="U9" s="30"/>
      <c r="V9" s="31"/>
    </row>
    <row r="10" spans="1:22" ht="12.75">
      <c r="A10" s="9"/>
      <c r="B10" s="7"/>
      <c r="C10" s="13"/>
      <c r="D10" s="7"/>
      <c r="E10" s="13"/>
      <c r="F10" s="7"/>
      <c r="G10" s="7"/>
      <c r="H10" s="13"/>
      <c r="I10" s="9"/>
      <c r="J10" s="13"/>
      <c r="K10" s="9"/>
      <c r="L10" s="12"/>
      <c r="M10" s="11" t="s">
        <v>29</v>
      </c>
      <c r="N10" s="13">
        <v>36</v>
      </c>
      <c r="O10" s="9"/>
      <c r="P10" s="12"/>
      <c r="Q10" s="13"/>
      <c r="R10" s="10"/>
      <c r="S10" s="9"/>
      <c r="T10" s="10"/>
      <c r="U10" s="9"/>
      <c r="V10" s="10"/>
    </row>
    <row r="11" spans="1:22" ht="12.75">
      <c r="A11" s="38">
        <v>13</v>
      </c>
      <c r="B11" s="34"/>
      <c r="C11" s="34"/>
      <c r="D11" s="34"/>
      <c r="E11" s="34"/>
      <c r="F11" s="34">
        <v>2</v>
      </c>
      <c r="G11" s="34" t="s">
        <v>15</v>
      </c>
      <c r="H11" s="23" t="s">
        <v>19</v>
      </c>
      <c r="I11" s="39"/>
      <c r="J11" s="40"/>
      <c r="K11" s="39" t="s">
        <v>30</v>
      </c>
      <c r="L11" s="21">
        <v>80</v>
      </c>
      <c r="M11" s="29" t="s">
        <v>31</v>
      </c>
      <c r="N11" s="16">
        <v>80</v>
      </c>
      <c r="O11" s="39" t="s">
        <v>32</v>
      </c>
      <c r="P11" s="21">
        <v>128</v>
      </c>
      <c r="Q11" s="40"/>
      <c r="R11" s="41"/>
      <c r="S11" s="39"/>
      <c r="T11" s="41"/>
      <c r="U11" s="39"/>
      <c r="V11" s="41"/>
    </row>
    <row r="12" spans="1:22" ht="12.75">
      <c r="A12" s="39">
        <v>13</v>
      </c>
      <c r="B12" s="15">
        <v>4</v>
      </c>
      <c r="C12" s="40"/>
      <c r="D12" s="15"/>
      <c r="E12" s="40"/>
      <c r="F12" s="15"/>
      <c r="G12" s="40" t="s">
        <v>15</v>
      </c>
      <c r="H12" s="16" t="s">
        <v>19</v>
      </c>
      <c r="I12" s="39"/>
      <c r="J12" s="40"/>
      <c r="K12" s="39" t="s">
        <v>33</v>
      </c>
      <c r="L12" s="21">
        <v>36</v>
      </c>
      <c r="M12" s="40" t="s">
        <v>34</v>
      </c>
      <c r="N12" s="16">
        <v>36</v>
      </c>
      <c r="O12" s="39" t="s">
        <v>35</v>
      </c>
      <c r="P12" s="21">
        <v>128</v>
      </c>
      <c r="Q12" s="40"/>
      <c r="R12" s="41"/>
      <c r="S12" s="39"/>
      <c r="T12" s="41"/>
      <c r="U12" s="39"/>
      <c r="V12" s="41"/>
    </row>
    <row r="13" spans="1:22" ht="12.75">
      <c r="A13" s="9"/>
      <c r="B13" s="7"/>
      <c r="C13" s="13"/>
      <c r="D13" s="7"/>
      <c r="E13" s="13"/>
      <c r="F13" s="7"/>
      <c r="G13" s="13"/>
      <c r="H13" s="8"/>
      <c r="I13" s="9"/>
      <c r="J13" s="13"/>
      <c r="K13" s="9"/>
      <c r="L13" s="12"/>
      <c r="M13" s="13" t="s">
        <v>36</v>
      </c>
      <c r="N13" s="8">
        <v>68</v>
      </c>
      <c r="O13" s="9"/>
      <c r="P13" s="12"/>
      <c r="Q13" s="13"/>
      <c r="R13" s="10"/>
      <c r="S13" s="9"/>
      <c r="T13" s="10"/>
      <c r="U13" s="9"/>
      <c r="V13" s="10"/>
    </row>
    <row r="14" spans="1:22" ht="13.5" thickBot="1">
      <c r="A14" s="42">
        <v>13</v>
      </c>
      <c r="B14" s="43"/>
      <c r="C14" s="43"/>
      <c r="D14" s="43"/>
      <c r="E14" s="43"/>
      <c r="F14" s="43"/>
      <c r="G14" s="44" t="s">
        <v>15</v>
      </c>
      <c r="H14" s="45" t="s">
        <v>19</v>
      </c>
      <c r="I14" s="46"/>
      <c r="J14" s="47"/>
      <c r="K14" s="48" t="s">
        <v>37</v>
      </c>
      <c r="L14" s="49">
        <v>36</v>
      </c>
      <c r="M14" s="50" t="s">
        <v>38</v>
      </c>
      <c r="N14" s="45">
        <v>68</v>
      </c>
      <c r="O14" s="51" t="s">
        <v>39</v>
      </c>
      <c r="P14" s="52"/>
      <c r="Q14" s="47"/>
      <c r="R14" s="52"/>
      <c r="S14" s="46"/>
      <c r="T14" s="52"/>
      <c r="U14" s="46"/>
      <c r="V14" s="18"/>
    </row>
    <row r="15" spans="1:22" ht="13.5" thickBot="1">
      <c r="A15" s="24"/>
      <c r="B15" s="25"/>
      <c r="C15" s="25"/>
      <c r="D15" s="25"/>
      <c r="E15" s="25"/>
      <c r="F15" s="25"/>
      <c r="G15" s="25"/>
      <c r="H15" s="25"/>
      <c r="I15" s="17"/>
      <c r="J15" s="18"/>
      <c r="K15" s="17"/>
      <c r="L15" s="18"/>
      <c r="M15" s="24"/>
      <c r="N15" s="26"/>
      <c r="O15" s="53"/>
      <c r="P15" s="53"/>
      <c r="Q15" s="30"/>
      <c r="R15" s="31"/>
      <c r="S15" s="24"/>
      <c r="T15" s="26"/>
      <c r="U15" s="24"/>
      <c r="V15" s="26"/>
    </row>
    <row r="16" spans="1:22" ht="12.75">
      <c r="A16" s="6">
        <v>20</v>
      </c>
      <c r="B16" s="7"/>
      <c r="C16" s="7"/>
      <c r="D16" s="7"/>
      <c r="E16" s="7"/>
      <c r="F16" s="7"/>
      <c r="G16" s="40" t="s">
        <v>15</v>
      </c>
      <c r="H16" s="8" t="s">
        <v>16</v>
      </c>
      <c r="I16" s="27"/>
      <c r="J16" s="28"/>
      <c r="K16" s="54" t="s">
        <v>40</v>
      </c>
      <c r="L16" s="55">
        <v>24</v>
      </c>
      <c r="M16" s="27"/>
      <c r="N16" s="28"/>
      <c r="O16" s="56" t="s">
        <v>41</v>
      </c>
      <c r="P16" s="57">
        <v>72</v>
      </c>
      <c r="Q16" s="27"/>
      <c r="R16" s="28"/>
      <c r="S16" s="58"/>
      <c r="T16" s="28"/>
      <c r="U16" s="27"/>
      <c r="V16" s="28"/>
    </row>
    <row r="17" spans="1:22" ht="13.5" thickBot="1">
      <c r="A17" s="14">
        <v>20</v>
      </c>
      <c r="B17" s="15">
        <v>8</v>
      </c>
      <c r="C17" s="15" t="s">
        <v>42</v>
      </c>
      <c r="D17" s="15"/>
      <c r="E17" s="15">
        <v>2</v>
      </c>
      <c r="F17" s="15">
        <v>2</v>
      </c>
      <c r="G17" s="40" t="s">
        <v>15</v>
      </c>
      <c r="H17" s="16" t="s">
        <v>19</v>
      </c>
      <c r="I17" s="17"/>
      <c r="J17" s="53"/>
      <c r="K17" s="19"/>
      <c r="L17" s="20"/>
      <c r="M17" s="53"/>
      <c r="N17" s="18"/>
      <c r="O17" s="19"/>
      <c r="P17" s="20"/>
      <c r="Q17" s="38" t="s">
        <v>43</v>
      </c>
      <c r="R17" s="59">
        <v>192</v>
      </c>
      <c r="S17" s="17"/>
      <c r="T17" s="18"/>
      <c r="U17" s="17"/>
      <c r="V17" s="18"/>
    </row>
    <row r="18" spans="1:22" ht="13.5" thickBot="1">
      <c r="A18" s="24"/>
      <c r="B18" s="25"/>
      <c r="C18" s="25"/>
      <c r="D18" s="25"/>
      <c r="E18" s="25"/>
      <c r="F18" s="25"/>
      <c r="G18" s="25"/>
      <c r="H18" s="25"/>
      <c r="I18" s="30"/>
      <c r="J18" s="31"/>
      <c r="K18" s="17"/>
      <c r="L18" s="18"/>
      <c r="M18" s="24"/>
      <c r="N18" s="26"/>
      <c r="O18" s="25"/>
      <c r="P18" s="25"/>
      <c r="Q18" s="24"/>
      <c r="R18" s="26"/>
      <c r="S18" s="24"/>
      <c r="T18" s="26"/>
      <c r="U18" s="24"/>
      <c r="V18" s="26"/>
    </row>
    <row r="19" spans="1:22" ht="12.75">
      <c r="A19" s="6">
        <v>22</v>
      </c>
      <c r="B19" s="7"/>
      <c r="C19" s="7" t="s">
        <v>44</v>
      </c>
      <c r="D19" s="7">
        <v>1</v>
      </c>
      <c r="E19" s="7"/>
      <c r="F19" s="7"/>
      <c r="G19" s="40" t="s">
        <v>45</v>
      </c>
      <c r="H19" s="8" t="s">
        <v>19</v>
      </c>
      <c r="I19" s="30"/>
      <c r="J19" s="31"/>
      <c r="K19" s="30"/>
      <c r="L19" s="31"/>
      <c r="M19" s="30"/>
      <c r="N19" s="31"/>
      <c r="O19" s="22" t="s">
        <v>46</v>
      </c>
      <c r="P19" s="23">
        <v>128</v>
      </c>
      <c r="Q19" s="30"/>
      <c r="R19" s="31"/>
      <c r="S19" s="30"/>
      <c r="T19" s="31"/>
      <c r="U19" s="30"/>
      <c r="V19" s="31"/>
    </row>
    <row r="20" spans="1:22" ht="22.5">
      <c r="A20" s="60">
        <v>22</v>
      </c>
      <c r="B20" s="61"/>
      <c r="C20" s="7" t="s">
        <v>47</v>
      </c>
      <c r="D20" s="61">
        <v>2</v>
      </c>
      <c r="E20" s="61"/>
      <c r="F20" s="61"/>
      <c r="G20" s="40" t="s">
        <v>45</v>
      </c>
      <c r="H20" s="62" t="s">
        <v>19</v>
      </c>
      <c r="I20" s="63"/>
      <c r="J20" s="64"/>
      <c r="K20" s="63"/>
      <c r="L20" s="64"/>
      <c r="M20" s="63"/>
      <c r="N20" s="64"/>
      <c r="O20" s="63"/>
      <c r="P20" s="64"/>
      <c r="Q20" s="60" t="s">
        <v>48</v>
      </c>
      <c r="R20" s="65">
        <v>192</v>
      </c>
      <c r="S20" s="60" t="s">
        <v>49</v>
      </c>
      <c r="T20" s="65">
        <v>368</v>
      </c>
      <c r="U20" s="63"/>
      <c r="V20" s="64"/>
    </row>
    <row r="21" spans="1:22" ht="12.75">
      <c r="A21" s="60">
        <v>22</v>
      </c>
      <c r="B21" s="61"/>
      <c r="C21" s="7"/>
      <c r="D21" s="61"/>
      <c r="E21" s="61"/>
      <c r="F21" s="61">
        <v>2</v>
      </c>
      <c r="G21" s="40" t="s">
        <v>15</v>
      </c>
      <c r="H21" s="62" t="s">
        <v>19</v>
      </c>
      <c r="I21" s="33"/>
      <c r="J21" s="66"/>
      <c r="K21" s="33"/>
      <c r="L21" s="66"/>
      <c r="M21" s="33"/>
      <c r="N21" s="66"/>
      <c r="O21" s="22" t="s">
        <v>50</v>
      </c>
      <c r="P21" s="23">
        <v>128</v>
      </c>
      <c r="Q21" s="38" t="s">
        <v>51</v>
      </c>
      <c r="R21" s="59">
        <v>176</v>
      </c>
      <c r="S21" s="33"/>
      <c r="T21" s="66"/>
      <c r="U21" s="33"/>
      <c r="V21" s="66"/>
    </row>
    <row r="22" spans="1:22" ht="12.75">
      <c r="A22" s="60">
        <v>22</v>
      </c>
      <c r="B22" s="61">
        <v>5</v>
      </c>
      <c r="C22" s="7" t="s">
        <v>44</v>
      </c>
      <c r="D22" s="61">
        <v>1</v>
      </c>
      <c r="E22" s="61"/>
      <c r="F22" s="61"/>
      <c r="G22" s="40" t="s">
        <v>45</v>
      </c>
      <c r="H22" s="62" t="s">
        <v>19</v>
      </c>
      <c r="I22" s="63"/>
      <c r="J22" s="64"/>
      <c r="K22" s="63"/>
      <c r="L22" s="64"/>
      <c r="M22" s="63"/>
      <c r="N22" s="64"/>
      <c r="O22" s="67" t="s">
        <v>52</v>
      </c>
      <c r="P22" s="62">
        <v>128</v>
      </c>
      <c r="Q22" s="63"/>
      <c r="R22" s="64"/>
      <c r="S22" s="63"/>
      <c r="T22" s="64"/>
      <c r="U22" s="63"/>
      <c r="V22" s="64"/>
    </row>
    <row r="23" spans="1:22" ht="23.25" thickBot="1">
      <c r="A23" s="60">
        <v>22</v>
      </c>
      <c r="B23" s="61">
        <v>5</v>
      </c>
      <c r="C23" s="7" t="s">
        <v>47</v>
      </c>
      <c r="D23" s="61">
        <v>2</v>
      </c>
      <c r="E23" s="61"/>
      <c r="F23" s="61"/>
      <c r="G23" s="40" t="s">
        <v>45</v>
      </c>
      <c r="H23" s="62" t="s">
        <v>19</v>
      </c>
      <c r="I23" s="17"/>
      <c r="J23" s="18"/>
      <c r="K23" s="17"/>
      <c r="L23" s="18"/>
      <c r="M23" s="17"/>
      <c r="N23" s="18"/>
      <c r="O23" s="19"/>
      <c r="P23" s="20"/>
      <c r="Q23" s="6" t="s">
        <v>53</v>
      </c>
      <c r="R23" s="12">
        <v>192</v>
      </c>
      <c r="S23" s="6" t="s">
        <v>54</v>
      </c>
      <c r="T23" s="12">
        <v>368</v>
      </c>
      <c r="U23" s="17"/>
      <c r="V23" s="18"/>
    </row>
    <row r="24" spans="1:22" ht="13.5" thickBot="1">
      <c r="A24" s="24"/>
      <c r="B24" s="25"/>
      <c r="C24" s="25"/>
      <c r="D24" s="25"/>
      <c r="E24" s="25"/>
      <c r="F24" s="25"/>
      <c r="G24" s="25"/>
      <c r="H24" s="25"/>
      <c r="I24" s="17"/>
      <c r="J24" s="18"/>
      <c r="K24" s="24"/>
      <c r="L24" s="26"/>
      <c r="M24" s="24"/>
      <c r="N24" s="26"/>
      <c r="O24" s="25"/>
      <c r="P24" s="25"/>
      <c r="Q24" s="24"/>
      <c r="R24" s="26"/>
      <c r="S24" s="24"/>
      <c r="T24" s="26"/>
      <c r="U24" s="24"/>
      <c r="V24" s="26"/>
    </row>
    <row r="25" spans="1:22" ht="12.75">
      <c r="A25" s="6">
        <v>33</v>
      </c>
      <c r="B25" s="7"/>
      <c r="C25" s="7" t="s">
        <v>44</v>
      </c>
      <c r="D25" s="7">
        <v>1</v>
      </c>
      <c r="E25" s="7"/>
      <c r="F25" s="7"/>
      <c r="G25" s="40" t="s">
        <v>45</v>
      </c>
      <c r="H25" s="8" t="s">
        <v>19</v>
      </c>
      <c r="I25" s="30"/>
      <c r="J25" s="31"/>
      <c r="K25" s="30"/>
      <c r="L25" s="31"/>
      <c r="M25" s="30"/>
      <c r="N25" s="32"/>
      <c r="O25" s="68" t="s">
        <v>55</v>
      </c>
      <c r="P25" s="36">
        <v>128</v>
      </c>
      <c r="Q25" s="32"/>
      <c r="R25" s="31"/>
      <c r="S25" s="30"/>
      <c r="T25" s="31"/>
      <c r="U25" s="30"/>
      <c r="V25" s="31"/>
    </row>
    <row r="26" spans="1:22" ht="22.5">
      <c r="A26" s="60">
        <v>33</v>
      </c>
      <c r="B26" s="61"/>
      <c r="C26" s="7" t="s">
        <v>47</v>
      </c>
      <c r="D26" s="61">
        <v>2</v>
      </c>
      <c r="E26" s="61"/>
      <c r="F26" s="61"/>
      <c r="G26" s="40" t="s">
        <v>45</v>
      </c>
      <c r="H26" s="62" t="s">
        <v>19</v>
      </c>
      <c r="I26" s="63"/>
      <c r="J26" s="64"/>
      <c r="K26" s="63"/>
      <c r="L26" s="64"/>
      <c r="M26" s="63"/>
      <c r="N26" s="69"/>
      <c r="O26" s="63"/>
      <c r="P26" s="64"/>
      <c r="Q26" s="67" t="s">
        <v>56</v>
      </c>
      <c r="R26" s="65">
        <v>192</v>
      </c>
      <c r="S26" s="60" t="s">
        <v>57</v>
      </c>
      <c r="T26" s="65">
        <v>368</v>
      </c>
      <c r="U26" s="63"/>
      <c r="V26" s="64"/>
    </row>
    <row r="27" spans="1:22" ht="12.75">
      <c r="A27" s="6">
        <v>33</v>
      </c>
      <c r="B27" s="7"/>
      <c r="C27" s="7"/>
      <c r="D27" s="7"/>
      <c r="E27" s="7"/>
      <c r="F27" s="7">
        <v>2</v>
      </c>
      <c r="G27" s="40" t="s">
        <v>15</v>
      </c>
      <c r="H27" s="8" t="s">
        <v>19</v>
      </c>
      <c r="I27" s="33"/>
      <c r="J27" s="66"/>
      <c r="K27" s="33"/>
      <c r="L27" s="66"/>
      <c r="M27" s="33"/>
      <c r="N27" s="35"/>
      <c r="O27" s="33"/>
      <c r="P27" s="66"/>
      <c r="Q27" s="22" t="s">
        <v>58</v>
      </c>
      <c r="R27" s="59"/>
      <c r="S27" s="33"/>
      <c r="T27" s="66"/>
      <c r="U27" s="33"/>
      <c r="V27" s="66"/>
    </row>
    <row r="28" spans="1:22" ht="22.5">
      <c r="A28" s="60">
        <v>33</v>
      </c>
      <c r="B28" s="61">
        <v>8</v>
      </c>
      <c r="C28" s="7" t="s">
        <v>47</v>
      </c>
      <c r="D28" s="61">
        <v>2</v>
      </c>
      <c r="E28" s="61"/>
      <c r="F28" s="61"/>
      <c r="G28" s="40" t="s">
        <v>45</v>
      </c>
      <c r="H28" s="62" t="s">
        <v>19</v>
      </c>
      <c r="I28" s="63"/>
      <c r="J28" s="64"/>
      <c r="K28" s="63"/>
      <c r="L28" s="64"/>
      <c r="M28" s="63"/>
      <c r="N28" s="69"/>
      <c r="O28" s="63"/>
      <c r="P28" s="64"/>
      <c r="Q28" s="67" t="s">
        <v>59</v>
      </c>
      <c r="R28" s="65">
        <v>192</v>
      </c>
      <c r="S28" s="60" t="s">
        <v>60</v>
      </c>
      <c r="T28" s="65">
        <v>368</v>
      </c>
      <c r="U28" s="63"/>
      <c r="V28" s="64"/>
    </row>
    <row r="29" spans="1:22" ht="13.5" thickBot="1">
      <c r="A29" s="14">
        <v>33</v>
      </c>
      <c r="B29" s="15"/>
      <c r="C29" s="34" t="s">
        <v>61</v>
      </c>
      <c r="D29" s="15">
        <v>2</v>
      </c>
      <c r="E29" s="15"/>
      <c r="F29" s="15"/>
      <c r="G29" s="40" t="s">
        <v>62</v>
      </c>
      <c r="H29" s="16" t="s">
        <v>63</v>
      </c>
      <c r="I29" s="17"/>
      <c r="J29" s="18"/>
      <c r="K29" s="17"/>
      <c r="L29" s="18"/>
      <c r="M29" s="17"/>
      <c r="N29" s="53"/>
      <c r="O29" s="70" t="s">
        <v>64</v>
      </c>
      <c r="P29" s="71">
        <v>232</v>
      </c>
      <c r="Q29" s="22" t="s">
        <v>65</v>
      </c>
      <c r="R29" s="59">
        <v>454</v>
      </c>
      <c r="S29" s="38" t="s">
        <v>66</v>
      </c>
      <c r="T29" s="59">
        <v>454</v>
      </c>
      <c r="U29" s="17"/>
      <c r="V29" s="18"/>
    </row>
    <row r="30" spans="1:22" ht="13.5" thickBot="1">
      <c r="A30" s="24"/>
      <c r="B30" s="25"/>
      <c r="C30" s="25"/>
      <c r="D30" s="25"/>
      <c r="E30" s="25"/>
      <c r="F30" s="25"/>
      <c r="G30" s="25"/>
      <c r="H30" s="25"/>
      <c r="I30" s="30"/>
      <c r="J30" s="31"/>
      <c r="K30" s="24"/>
      <c r="L30" s="26"/>
      <c r="M30" s="24"/>
      <c r="N30" s="26"/>
      <c r="O30" s="25"/>
      <c r="P30" s="25"/>
      <c r="Q30" s="24"/>
      <c r="R30" s="26"/>
      <c r="S30" s="24"/>
      <c r="T30" s="26"/>
      <c r="U30" s="24"/>
      <c r="V30" s="26"/>
    </row>
    <row r="31" spans="1:22" ht="23.25" thickBot="1">
      <c r="A31" s="38">
        <v>50</v>
      </c>
      <c r="B31" s="34">
        <v>12</v>
      </c>
      <c r="C31" s="34" t="s">
        <v>67</v>
      </c>
      <c r="D31" s="34">
        <v>3</v>
      </c>
      <c r="E31" s="34"/>
      <c r="F31" s="34"/>
      <c r="G31" s="40" t="s">
        <v>62</v>
      </c>
      <c r="H31" s="23" t="s">
        <v>63</v>
      </c>
      <c r="I31" s="24"/>
      <c r="J31" s="26"/>
      <c r="K31" s="24"/>
      <c r="L31" s="26"/>
      <c r="M31" s="24"/>
      <c r="N31" s="26"/>
      <c r="O31" s="24"/>
      <c r="P31" s="26"/>
      <c r="Q31" s="24"/>
      <c r="R31" s="26"/>
      <c r="S31" s="38" t="s">
        <v>68</v>
      </c>
      <c r="T31" s="59">
        <v>454</v>
      </c>
      <c r="U31" s="38" t="s">
        <v>69</v>
      </c>
      <c r="V31" s="59">
        <v>902</v>
      </c>
    </row>
    <row r="32" spans="1:22" ht="13.5" thickBot="1">
      <c r="A32" s="24"/>
      <c r="B32" s="25"/>
      <c r="C32" s="25"/>
      <c r="D32" s="25"/>
      <c r="E32" s="25"/>
      <c r="F32" s="25"/>
      <c r="G32" s="25"/>
      <c r="H32" s="25"/>
      <c r="I32" s="17"/>
      <c r="J32" s="18"/>
      <c r="K32" s="24"/>
      <c r="L32" s="26"/>
      <c r="M32" s="24"/>
      <c r="N32" s="26"/>
      <c r="O32" s="25"/>
      <c r="P32" s="25"/>
      <c r="Q32" s="24"/>
      <c r="R32" s="26"/>
      <c r="S32" s="24"/>
      <c r="T32" s="26"/>
      <c r="U32" s="24"/>
      <c r="V32" s="26"/>
    </row>
    <row r="33" spans="1:22" ht="12.75">
      <c r="A33" s="6">
        <v>52</v>
      </c>
      <c r="B33" s="7"/>
      <c r="C33" s="7" t="s">
        <v>44</v>
      </c>
      <c r="D33" s="7">
        <v>1</v>
      </c>
      <c r="E33" s="7"/>
      <c r="F33" s="7"/>
      <c r="G33" s="35" t="s">
        <v>45</v>
      </c>
      <c r="H33" s="8" t="s">
        <v>19</v>
      </c>
      <c r="I33" s="30"/>
      <c r="J33" s="31"/>
      <c r="K33" s="30"/>
      <c r="L33" s="31"/>
      <c r="M33" s="30"/>
      <c r="N33" s="31"/>
      <c r="O33" s="30"/>
      <c r="P33" s="31"/>
      <c r="Q33" s="6" t="s">
        <v>70</v>
      </c>
      <c r="R33" s="12">
        <v>176</v>
      </c>
      <c r="S33" s="30"/>
      <c r="T33" s="31"/>
      <c r="U33" s="30"/>
      <c r="V33" s="31"/>
    </row>
    <row r="34" spans="1:22" ht="13.5" thickBot="1">
      <c r="A34" s="72">
        <v>52</v>
      </c>
      <c r="B34" s="73">
        <v>5</v>
      </c>
      <c r="C34" s="73" t="s">
        <v>44</v>
      </c>
      <c r="D34" s="73">
        <v>1</v>
      </c>
      <c r="E34" s="73"/>
      <c r="F34" s="73"/>
      <c r="G34" s="74" t="s">
        <v>45</v>
      </c>
      <c r="H34" s="75" t="s">
        <v>19</v>
      </c>
      <c r="I34" s="17"/>
      <c r="J34" s="18"/>
      <c r="K34" s="17"/>
      <c r="L34" s="18"/>
      <c r="M34" s="17"/>
      <c r="N34" s="18"/>
      <c r="O34" s="17"/>
      <c r="P34" s="18"/>
      <c r="Q34" s="70" t="s">
        <v>71</v>
      </c>
      <c r="R34" s="76">
        <v>176</v>
      </c>
      <c r="S34" s="17"/>
      <c r="T34" s="18"/>
      <c r="U34" s="17"/>
      <c r="V34" s="18"/>
    </row>
    <row r="35" spans="1:22" ht="12.7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</row>
    <row r="36" spans="1:22" ht="12.75">
      <c r="A36" s="78"/>
      <c r="B36" s="78"/>
      <c r="C36" s="77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</row>
  </sheetData>
  <mergeCells count="9">
    <mergeCell ref="I1:V1"/>
    <mergeCell ref="H1:H2"/>
    <mergeCell ref="E1:E2"/>
    <mergeCell ref="A1:A2"/>
    <mergeCell ref="C1:C2"/>
    <mergeCell ref="B1:B2"/>
    <mergeCell ref="D1:D2"/>
    <mergeCell ref="F1:F2"/>
    <mergeCell ref="G1:G2"/>
  </mergeCell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91" r:id="rId1"/>
  <headerFooter alignWithMargins="0">
    <oddHeader>&amp;L&amp;F    &amp;A&amp;R&amp;D</oddHeader>
    <oddFooter>&amp;R&amp;P  /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3:R59"/>
  <sheetViews>
    <sheetView workbookViewId="0" topLeftCell="A24">
      <selection activeCell="F46" sqref="F46"/>
    </sheetView>
  </sheetViews>
  <sheetFormatPr defaultColWidth="11.421875" defaultRowHeight="12.75"/>
  <cols>
    <col min="1" max="1" width="5.8515625" style="0" customWidth="1"/>
    <col min="3" max="3" width="16.00390625" style="0" customWidth="1"/>
    <col min="9" max="9" width="10.00390625" style="0" customWidth="1"/>
    <col min="10" max="10" width="11.7109375" style="0" bestFit="1" customWidth="1"/>
    <col min="11" max="11" width="5.28125" style="0" customWidth="1"/>
    <col min="13" max="13" width="4.7109375" style="0" customWidth="1"/>
    <col min="14" max="14" width="20.8515625" style="0" customWidth="1"/>
  </cols>
  <sheetData>
    <row r="2" ht="13.5" thickBot="1"/>
    <row r="3" spans="2:15" ht="12.75">
      <c r="B3" s="92" t="s">
        <v>0</v>
      </c>
      <c r="C3" s="95">
        <v>1</v>
      </c>
      <c r="G3" s="116" t="s">
        <v>401</v>
      </c>
      <c r="H3" s="410">
        <v>20</v>
      </c>
      <c r="I3" s="205" t="s">
        <v>75</v>
      </c>
      <c r="J3" s="411">
        <v>4</v>
      </c>
      <c r="K3" s="205" t="s">
        <v>395</v>
      </c>
      <c r="L3" s="411">
        <v>6</v>
      </c>
      <c r="M3" s="205" t="s">
        <v>395</v>
      </c>
      <c r="N3" s="410">
        <v>40</v>
      </c>
      <c r="O3" s="205" t="s">
        <v>75</v>
      </c>
    </row>
    <row r="4" spans="2:15" ht="12.75">
      <c r="B4" s="93" t="s">
        <v>1</v>
      </c>
      <c r="C4" s="96">
        <v>7</v>
      </c>
      <c r="G4" s="206" t="s">
        <v>396</v>
      </c>
      <c r="H4" s="207">
        <f>4/H3</f>
        <v>0.2</v>
      </c>
      <c r="I4" s="208" t="s">
        <v>393</v>
      </c>
      <c r="J4" s="210">
        <f>4/J3</f>
        <v>1</v>
      </c>
      <c r="K4" s="208" t="s">
        <v>393</v>
      </c>
      <c r="L4" s="212">
        <f>4/L3</f>
        <v>0.6666666666666666</v>
      </c>
      <c r="M4" s="208" t="s">
        <v>393</v>
      </c>
      <c r="N4" s="207">
        <f>4/N3</f>
        <v>0.1</v>
      </c>
      <c r="O4" s="208" t="s">
        <v>393</v>
      </c>
    </row>
    <row r="5" spans="2:15" ht="13.5" thickBot="1">
      <c r="B5" s="93" t="s">
        <v>2</v>
      </c>
      <c r="C5" s="96">
        <v>61</v>
      </c>
      <c r="G5" s="206" t="s">
        <v>399</v>
      </c>
      <c r="H5" s="207">
        <v>256</v>
      </c>
      <c r="I5" s="208"/>
      <c r="J5" s="210">
        <v>256</v>
      </c>
      <c r="K5" s="208"/>
      <c r="L5" s="210">
        <v>8</v>
      </c>
      <c r="M5" s="208"/>
      <c r="N5" s="207">
        <v>256</v>
      </c>
      <c r="O5" s="208"/>
    </row>
    <row r="6" spans="2:15" ht="13.5" thickBot="1">
      <c r="B6" s="93" t="s">
        <v>3</v>
      </c>
      <c r="C6" s="96">
        <v>2</v>
      </c>
      <c r="G6" s="115" t="s">
        <v>458</v>
      </c>
      <c r="H6" s="242">
        <v>60</v>
      </c>
      <c r="I6" s="208"/>
      <c r="J6" s="203">
        <v>59</v>
      </c>
      <c r="K6" s="208"/>
      <c r="L6" s="203">
        <v>80</v>
      </c>
      <c r="M6" s="208"/>
      <c r="N6" s="242">
        <v>0</v>
      </c>
      <c r="O6" s="208"/>
    </row>
    <row r="7" spans="2:15" ht="13.5" thickBot="1">
      <c r="B7" s="94" t="s">
        <v>4</v>
      </c>
      <c r="C7" s="97">
        <v>2</v>
      </c>
      <c r="G7" s="115" t="s">
        <v>459</v>
      </c>
      <c r="H7" s="365">
        <f>255-H6</f>
        <v>195</v>
      </c>
      <c r="I7" s="208"/>
      <c r="J7" s="365">
        <f>255-J6</f>
        <v>196</v>
      </c>
      <c r="K7" s="208"/>
      <c r="L7" s="211">
        <f>255-L6</f>
        <v>175</v>
      </c>
      <c r="M7" s="208"/>
      <c r="N7" s="365">
        <f>255-N6</f>
        <v>255</v>
      </c>
      <c r="O7" s="208"/>
    </row>
    <row r="8" spans="3:15" ht="13.5" thickBot="1">
      <c r="C8" s="91">
        <f>((9*T1m+4)*T2m+4)*T3m+1+(9+x)*T4m+6</f>
        <v>5824</v>
      </c>
      <c r="G8" s="115" t="s">
        <v>400</v>
      </c>
      <c r="H8" s="364">
        <f>H4*H5*H7</f>
        <v>9984</v>
      </c>
      <c r="I8" s="117" t="s">
        <v>393</v>
      </c>
      <c r="J8" s="213">
        <f>J4*J5*J7</f>
        <v>50176</v>
      </c>
      <c r="K8" s="117" t="s">
        <v>393</v>
      </c>
      <c r="L8" s="213">
        <f>L4*L5*L7</f>
        <v>933.3333333333333</v>
      </c>
      <c r="M8" s="117" t="s">
        <v>393</v>
      </c>
      <c r="N8" s="364">
        <f>N4*N5*N7</f>
        <v>6528</v>
      </c>
      <c r="O8" s="117" t="s">
        <v>393</v>
      </c>
    </row>
    <row r="9" spans="2:13" ht="13.5" thickBot="1">
      <c r="B9" s="1" t="s">
        <v>81</v>
      </c>
      <c r="H9" s="89"/>
      <c r="J9" s="204">
        <f>J8*J10</f>
        <v>1003520</v>
      </c>
      <c r="K9" s="127"/>
      <c r="M9" s="127"/>
    </row>
    <row r="10" spans="10:18" ht="13.5" thickBot="1">
      <c r="J10" s="83">
        <v>20</v>
      </c>
      <c r="P10" s="412" t="s">
        <v>83</v>
      </c>
      <c r="Q10" s="413">
        <v>31</v>
      </c>
      <c r="R10" s="414" t="s">
        <v>877</v>
      </c>
    </row>
    <row r="11" spans="14:18" ht="13.5" thickBot="1">
      <c r="N11" s="78"/>
      <c r="P11" s="412" t="s">
        <v>84</v>
      </c>
      <c r="Q11" s="413">
        <v>133</v>
      </c>
      <c r="R11" s="415"/>
    </row>
    <row r="12" spans="2:18" ht="13.5" thickBot="1">
      <c r="B12" s="385" t="s">
        <v>398</v>
      </c>
      <c r="C12" s="386"/>
      <c r="D12" s="386"/>
      <c r="E12" s="386"/>
      <c r="F12" s="386"/>
      <c r="G12" s="386"/>
      <c r="H12" s="239"/>
      <c r="I12" s="205"/>
      <c r="N12" s="78"/>
      <c r="P12" s="416" t="s">
        <v>85</v>
      </c>
      <c r="Q12" s="417">
        <v>50</v>
      </c>
      <c r="R12" s="415"/>
    </row>
    <row r="13" spans="2:18" ht="16.5" thickBot="1">
      <c r="B13" s="206"/>
      <c r="C13" s="115" t="s">
        <v>82</v>
      </c>
      <c r="D13" s="124" t="s">
        <v>397</v>
      </c>
      <c r="E13" s="125"/>
      <c r="F13" s="125"/>
      <c r="G13" s="125"/>
      <c r="H13" s="125"/>
      <c r="I13" s="126"/>
      <c r="N13" s="78"/>
      <c r="P13" s="418"/>
      <c r="Q13" s="419">
        <f>(5*(count3-1)+1282*(count2-1)+327684*(count1-1)+6)*cycle</f>
        <v>1000001.6000000001</v>
      </c>
      <c r="R13" s="420" t="s">
        <v>393</v>
      </c>
    </row>
    <row r="14" spans="2:14" ht="13.5" thickBot="1">
      <c r="B14" s="206"/>
      <c r="C14" s="78"/>
      <c r="D14" s="78"/>
      <c r="E14" s="78"/>
      <c r="F14" s="78"/>
      <c r="G14" s="78"/>
      <c r="H14" s="78"/>
      <c r="I14" s="208"/>
      <c r="N14" s="78"/>
    </row>
    <row r="15" spans="2:14" ht="13.5" thickBot="1">
      <c r="B15" s="206"/>
      <c r="C15" s="115" t="s">
        <v>83</v>
      </c>
      <c r="D15" s="118">
        <v>8</v>
      </c>
      <c r="E15" s="78"/>
      <c r="F15" s="121" t="s">
        <v>394</v>
      </c>
      <c r="G15" s="123">
        <v>10</v>
      </c>
      <c r="H15" s="117" t="s">
        <v>395</v>
      </c>
      <c r="I15" s="208"/>
      <c r="N15" s="78"/>
    </row>
    <row r="16" spans="2:14" ht="13.5" thickBot="1">
      <c r="B16" s="206"/>
      <c r="C16" s="115" t="s">
        <v>84</v>
      </c>
      <c r="D16" s="118">
        <v>161</v>
      </c>
      <c r="E16" s="78"/>
      <c r="F16" s="122" t="s">
        <v>396</v>
      </c>
      <c r="G16" s="409">
        <f>1/(G15/4)</f>
        <v>0.4</v>
      </c>
      <c r="H16" s="117" t="s">
        <v>393</v>
      </c>
      <c r="I16" s="208"/>
      <c r="N16" s="78"/>
    </row>
    <row r="17" spans="2:14" ht="13.5" thickBot="1">
      <c r="B17" s="206"/>
      <c r="C17" s="116" t="s">
        <v>85</v>
      </c>
      <c r="D17" s="119">
        <v>219</v>
      </c>
      <c r="E17" s="78"/>
      <c r="F17" s="78"/>
      <c r="G17" s="78"/>
      <c r="H17" s="208"/>
      <c r="I17" s="208"/>
      <c r="N17" s="78"/>
    </row>
    <row r="18" spans="2:14" ht="13.5" thickBot="1">
      <c r="B18" s="206"/>
      <c r="C18" s="115" t="s">
        <v>86</v>
      </c>
      <c r="D18" s="421">
        <f>(5*(count3-1)+1282*(count2-1)+327684*(count1-1)+6)*cycle</f>
        <v>1000001.6000000001</v>
      </c>
      <c r="E18" s="389" t="s">
        <v>393</v>
      </c>
      <c r="F18" s="387">
        <f>D18/1000</f>
        <v>1000.0016</v>
      </c>
      <c r="G18" s="389" t="s">
        <v>366</v>
      </c>
      <c r="H18" s="388">
        <f>D18/1000000</f>
        <v>1.0000016</v>
      </c>
      <c r="I18" s="389" t="s">
        <v>392</v>
      </c>
      <c r="N18" s="78"/>
    </row>
    <row r="19" spans="2:14" ht="13.5" thickBot="1">
      <c r="B19" s="209"/>
      <c r="C19" s="250"/>
      <c r="D19" s="250"/>
      <c r="E19" s="250"/>
      <c r="F19" s="250"/>
      <c r="G19" s="250"/>
      <c r="H19" s="250"/>
      <c r="I19" s="120"/>
      <c r="N19" s="78"/>
    </row>
    <row r="20" ht="12.75">
      <c r="N20" s="78"/>
    </row>
    <row r="21" ht="12.75">
      <c r="N21" s="78"/>
    </row>
    <row r="22" ht="12.75">
      <c r="N22" s="78"/>
    </row>
    <row r="23" spans="2:14" ht="12.75">
      <c r="B23" s="79"/>
      <c r="N23" s="78"/>
    </row>
    <row r="24" ht="12.75">
      <c r="N24" s="78"/>
    </row>
    <row r="25" ht="12.75">
      <c r="N25" s="78"/>
    </row>
    <row r="26" ht="12.75">
      <c r="N26" s="78"/>
    </row>
    <row r="27" spans="12:14" ht="12.75">
      <c r="L27" s="78"/>
      <c r="M27" s="78"/>
      <c r="N27" s="78"/>
    </row>
    <row r="28" spans="12:14" ht="12.75">
      <c r="L28" s="78"/>
      <c r="M28" s="78"/>
      <c r="N28" s="78"/>
    </row>
    <row r="29" spans="12:14" ht="12.75">
      <c r="L29" s="78"/>
      <c r="M29" s="78"/>
      <c r="N29" s="78"/>
    </row>
    <row r="30" spans="12:14" ht="12.75">
      <c r="L30" s="78"/>
      <c r="M30" s="78"/>
      <c r="N30" s="78"/>
    </row>
    <row r="31" spans="12:14" ht="12.75">
      <c r="L31" s="78"/>
      <c r="M31" s="78"/>
      <c r="N31" s="78"/>
    </row>
    <row r="32" spans="12:14" ht="12.75">
      <c r="L32" s="78"/>
      <c r="M32" s="78"/>
      <c r="N32" s="78"/>
    </row>
    <row r="33" spans="12:14" ht="12.75">
      <c r="L33" s="78"/>
      <c r="M33" s="78"/>
      <c r="N33" s="78"/>
    </row>
    <row r="34" spans="12:14" ht="12.75">
      <c r="L34" s="78"/>
      <c r="M34" s="78"/>
      <c r="N34" s="78"/>
    </row>
    <row r="35" spans="12:14" ht="12.75">
      <c r="L35" s="78"/>
      <c r="M35" s="78"/>
      <c r="N35" s="78"/>
    </row>
    <row r="36" spans="12:14" ht="12.75">
      <c r="L36" s="78"/>
      <c r="M36" s="78"/>
      <c r="N36" s="78"/>
    </row>
    <row r="37" ht="13.5" thickBot="1"/>
    <row r="38" spans="3:7" ht="12.75">
      <c r="C38" s="284" t="s">
        <v>837</v>
      </c>
      <c r="D38" s="383">
        <v>19200</v>
      </c>
      <c r="E38" s="239" t="s">
        <v>834</v>
      </c>
      <c r="F38" s="239" t="s">
        <v>836</v>
      </c>
      <c r="G38" s="205"/>
    </row>
    <row r="39" spans="3:7" ht="13.5" thickBot="1">
      <c r="C39" s="206"/>
      <c r="D39" s="78" t="s">
        <v>835</v>
      </c>
      <c r="E39" s="384">
        <f>1000000/D38</f>
        <v>52.083333333333336</v>
      </c>
      <c r="F39" s="78" t="s">
        <v>393</v>
      </c>
      <c r="G39" s="208"/>
    </row>
    <row r="40" spans="3:16" ht="13.5" thickBot="1">
      <c r="C40" s="209"/>
      <c r="D40" s="250"/>
      <c r="E40" s="250"/>
      <c r="F40" s="250"/>
      <c r="G40" s="120"/>
      <c r="M40" s="116">
        <v>2</v>
      </c>
      <c r="N40" s="239" t="s">
        <v>867</v>
      </c>
      <c r="O40" s="239"/>
      <c r="P40" s="205"/>
    </row>
    <row r="41" spans="8:16" ht="12.75">
      <c r="H41" s="116" t="s">
        <v>874</v>
      </c>
      <c r="I41" s="239"/>
      <c r="J41" s="399">
        <f>F45*2</f>
        <v>0.32</v>
      </c>
      <c r="M41" s="206">
        <v>2</v>
      </c>
      <c r="N41" s="78" t="s">
        <v>865</v>
      </c>
      <c r="O41" s="249"/>
      <c r="P41" s="208"/>
    </row>
    <row r="42" spans="8:16" ht="13.5" thickBot="1">
      <c r="H42" s="206"/>
      <c r="I42" s="78" t="s">
        <v>875</v>
      </c>
      <c r="J42" s="400">
        <v>32</v>
      </c>
      <c r="M42" s="206">
        <v>2</v>
      </c>
      <c r="N42" s="78" t="s">
        <v>868</v>
      </c>
      <c r="O42" s="402">
        <v>3</v>
      </c>
      <c r="P42" s="208" t="s">
        <v>870</v>
      </c>
    </row>
    <row r="43" spans="6:16" ht="13.5" thickBot="1">
      <c r="F43">
        <v>1000</v>
      </c>
      <c r="H43" s="209"/>
      <c r="I43" s="115" t="s">
        <v>876</v>
      </c>
      <c r="J43" s="422">
        <f>J42*J41</f>
        <v>10.24</v>
      </c>
      <c r="M43" s="206">
        <v>2</v>
      </c>
      <c r="N43" s="78" t="s">
        <v>866</v>
      </c>
      <c r="O43" s="78"/>
      <c r="P43" s="208"/>
    </row>
    <row r="44" spans="13:16" ht="13.5" thickBot="1">
      <c r="M44" s="116">
        <v>3</v>
      </c>
      <c r="N44" s="205" t="s">
        <v>863</v>
      </c>
      <c r="O44" s="403">
        <v>166</v>
      </c>
      <c r="P44" s="208" t="s">
        <v>869</v>
      </c>
    </row>
    <row r="45" spans="3:16" ht="13.5" thickBot="1">
      <c r="C45" s="115" t="s">
        <v>394</v>
      </c>
      <c r="D45" s="407">
        <v>25</v>
      </c>
      <c r="E45" t="s">
        <v>839</v>
      </c>
      <c r="F45" s="408">
        <f>1/(D45/4)</f>
        <v>0.16</v>
      </c>
      <c r="H45" s="187">
        <f>2*F45</f>
        <v>0.32</v>
      </c>
      <c r="I45" t="s">
        <v>396</v>
      </c>
      <c r="M45" s="206">
        <v>3</v>
      </c>
      <c r="N45" s="208" t="s">
        <v>863</v>
      </c>
      <c r="O45" s="78"/>
      <c r="P45" s="208"/>
    </row>
    <row r="46" spans="2:16" ht="13.5" thickBot="1">
      <c r="B46" s="198" t="s">
        <v>878</v>
      </c>
      <c r="C46">
        <v>19200</v>
      </c>
      <c r="D46" s="192">
        <f>1000000/C46</f>
        <v>52.083333333333336</v>
      </c>
      <c r="E46" t="s">
        <v>393</v>
      </c>
      <c r="F46">
        <f>F43/F45</f>
        <v>6250</v>
      </c>
      <c r="H46" s="401">
        <v>213</v>
      </c>
      <c r="I46" s="115" t="s">
        <v>838</v>
      </c>
      <c r="M46" s="206">
        <v>3</v>
      </c>
      <c r="N46" s="208" t="s">
        <v>863</v>
      </c>
      <c r="O46" s="78"/>
      <c r="P46" s="208"/>
    </row>
    <row r="47" spans="3:16" ht="12.75">
      <c r="C47">
        <v>9600</v>
      </c>
      <c r="D47" s="192">
        <f>1000000/C47</f>
        <v>104.16666666666667</v>
      </c>
      <c r="E47" t="s">
        <v>393</v>
      </c>
      <c r="F47">
        <f>F46/250</f>
        <v>25</v>
      </c>
      <c r="H47" s="391">
        <v>1</v>
      </c>
      <c r="I47" t="s">
        <v>396</v>
      </c>
      <c r="M47" s="206">
        <v>3</v>
      </c>
      <c r="N47" s="208" t="s">
        <v>864</v>
      </c>
      <c r="O47" s="78"/>
      <c r="P47" s="208"/>
    </row>
    <row r="48" spans="3:16" ht="13.5" thickBot="1">
      <c r="C48">
        <v>4800</v>
      </c>
      <c r="D48" s="192">
        <f>1000000/C48</f>
        <v>208.33333333333334</v>
      </c>
      <c r="E48" t="s">
        <v>393</v>
      </c>
      <c r="H48" s="391">
        <v>1</v>
      </c>
      <c r="I48" t="s">
        <v>396</v>
      </c>
      <c r="M48" s="209">
        <v>3</v>
      </c>
      <c r="N48" s="120" t="s">
        <v>873</v>
      </c>
      <c r="O48" s="78"/>
      <c r="P48" s="208"/>
    </row>
    <row r="49" spans="8:16" ht="12.75">
      <c r="H49" s="391">
        <v>2</v>
      </c>
      <c r="I49" t="s">
        <v>396</v>
      </c>
      <c r="M49" s="116">
        <v>3</v>
      </c>
      <c r="N49" s="205" t="s">
        <v>864</v>
      </c>
      <c r="O49" s="404">
        <f>SUM(M44:M48)*O44</f>
        <v>2490</v>
      </c>
      <c r="P49" s="208"/>
    </row>
    <row r="50" spans="8:16" ht="13.5" thickBot="1">
      <c r="H50" s="397">
        <f>H46*(H49+H48)</f>
        <v>639</v>
      </c>
      <c r="I50" t="s">
        <v>396</v>
      </c>
      <c r="M50" s="209">
        <v>3</v>
      </c>
      <c r="N50" s="120" t="s">
        <v>872</v>
      </c>
      <c r="O50" s="405">
        <f>(6+O49+4)*O42</f>
        <v>7500</v>
      </c>
      <c r="P50" s="208"/>
    </row>
    <row r="51" spans="8:16" ht="13.5" thickBot="1">
      <c r="H51" s="391">
        <v>2</v>
      </c>
      <c r="I51" t="s">
        <v>396</v>
      </c>
      <c r="M51" s="206">
        <v>2</v>
      </c>
      <c r="N51" s="78" t="s">
        <v>871</v>
      </c>
      <c r="O51" s="78">
        <v>2</v>
      </c>
      <c r="P51" s="208"/>
    </row>
    <row r="52" spans="8:16" ht="13.5" thickBot="1">
      <c r="H52" s="398">
        <f>SUM(H47:H51)+2</f>
        <v>647</v>
      </c>
      <c r="I52" s="117" t="s">
        <v>862</v>
      </c>
      <c r="M52" s="206"/>
      <c r="N52" s="78"/>
      <c r="O52" s="406">
        <f>(M40+M41+M42+M43+O49+O50+O51)*F45</f>
        <v>1600</v>
      </c>
      <c r="P52" s="208" t="s">
        <v>393</v>
      </c>
    </row>
    <row r="53" spans="8:16" ht="13.5" thickBot="1">
      <c r="H53" s="396">
        <f>H52*F45</f>
        <v>103.52</v>
      </c>
      <c r="I53" t="s">
        <v>393</v>
      </c>
      <c r="M53" s="206"/>
      <c r="N53" s="78"/>
      <c r="O53" s="78"/>
      <c r="P53" s="208"/>
    </row>
    <row r="54" spans="8:16" ht="13.5" thickBot="1">
      <c r="H54" s="392">
        <f>(H53-E39)/E39</f>
        <v>0.9875839999999998</v>
      </c>
      <c r="I54" s="117" t="s">
        <v>80</v>
      </c>
      <c r="M54" s="209"/>
      <c r="N54" s="250"/>
      <c r="O54" s="250"/>
      <c r="P54" s="120"/>
    </row>
    <row r="59" ht="12.75">
      <c r="E59" t="s">
        <v>879</v>
      </c>
    </row>
  </sheetData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orientation="landscape" paperSize="9" r:id="rId2"/>
  <headerFooter alignWithMargins="0">
    <oddHeader>&amp;L&amp;F    &amp;A&amp;R&amp;D</oddHeader>
    <oddFooter>&amp;R&amp;P  / 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7:E10"/>
  <sheetViews>
    <sheetView workbookViewId="0" topLeftCell="A1">
      <selection activeCell="D31" sqref="D31"/>
    </sheetView>
  </sheetViews>
  <sheetFormatPr defaultColWidth="11.421875" defaultRowHeight="12.75"/>
  <cols>
    <col min="2" max="2" width="7.140625" style="0" customWidth="1"/>
    <col min="3" max="3" width="14.57421875" style="0" customWidth="1"/>
    <col min="5" max="5" width="10.28125" style="0" customWidth="1"/>
  </cols>
  <sheetData>
    <row r="7" spans="3:5" ht="12.75">
      <c r="C7" t="s">
        <v>859</v>
      </c>
      <c r="D7" s="395">
        <v>4200</v>
      </c>
      <c r="E7" s="229">
        <v>4096</v>
      </c>
    </row>
    <row r="8" spans="3:5" ht="12.75">
      <c r="C8" t="s">
        <v>860</v>
      </c>
      <c r="D8" s="393">
        <f>(D7*E8)/E7</f>
        <v>3106.93359375</v>
      </c>
      <c r="E8" s="354">
        <v>3030</v>
      </c>
    </row>
    <row r="9" spans="3:4" ht="12.75">
      <c r="C9" t="s">
        <v>861</v>
      </c>
      <c r="D9" s="83">
        <v>2730</v>
      </c>
    </row>
    <row r="10" spans="4:5" ht="12.75">
      <c r="D10" s="394">
        <f>(D8-D9)/10</f>
        <v>37.693359375</v>
      </c>
      <c r="E10" t="s">
        <v>858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2"/>
  <dimension ref="B2:G45"/>
  <sheetViews>
    <sheetView workbookViewId="0" topLeftCell="A1">
      <selection activeCell="I22" sqref="I22"/>
    </sheetView>
  </sheetViews>
  <sheetFormatPr defaultColWidth="11.421875" defaultRowHeight="12.75"/>
  <cols>
    <col min="2" max="2" width="8.8515625" style="0" customWidth="1"/>
    <col min="5" max="5" width="12.421875" style="0" customWidth="1"/>
    <col min="6" max="6" width="14.421875" style="0" customWidth="1"/>
    <col min="7" max="7" width="14.7109375" style="0" customWidth="1"/>
  </cols>
  <sheetData>
    <row r="1" ht="13.5" thickBot="1"/>
    <row r="2" spans="2:7" ht="15.75">
      <c r="B2" s="324" t="s">
        <v>762</v>
      </c>
      <c r="F2" s="319" t="s">
        <v>764</v>
      </c>
      <c r="G2" s="106" t="s">
        <v>763</v>
      </c>
    </row>
    <row r="3" spans="2:7" ht="13.5" thickBot="1">
      <c r="B3" s="317" t="s">
        <v>753</v>
      </c>
      <c r="F3" s="320" t="s">
        <v>750</v>
      </c>
      <c r="G3" s="327" t="s">
        <v>754</v>
      </c>
    </row>
    <row r="4" spans="2:7" ht="13.5" thickBot="1">
      <c r="B4" s="306" t="s">
        <v>751</v>
      </c>
      <c r="C4" s="214" t="s">
        <v>460</v>
      </c>
      <c r="D4" s="217" t="s">
        <v>466</v>
      </c>
      <c r="E4" s="309" t="s">
        <v>461</v>
      </c>
      <c r="F4" s="326" t="s">
        <v>752</v>
      </c>
      <c r="G4" s="107" t="s">
        <v>755</v>
      </c>
    </row>
    <row r="5" spans="2:7" ht="12.75">
      <c r="B5" s="307">
        <v>0</v>
      </c>
      <c r="C5" s="304">
        <v>0.1</v>
      </c>
      <c r="D5" s="236" t="s">
        <v>714</v>
      </c>
      <c r="E5" s="314">
        <v>4.362076160000001</v>
      </c>
      <c r="F5" s="325">
        <v>0.0916</v>
      </c>
      <c r="G5" s="328"/>
    </row>
    <row r="6" spans="2:7" ht="12.75">
      <c r="B6" s="308">
        <v>1</v>
      </c>
      <c r="C6" s="304">
        <v>1</v>
      </c>
      <c r="D6" s="237" t="s">
        <v>715</v>
      </c>
      <c r="E6" s="314">
        <v>43.6207616</v>
      </c>
      <c r="F6" s="321">
        <v>0.988</v>
      </c>
      <c r="G6" s="329">
        <v>0.985</v>
      </c>
    </row>
    <row r="7" spans="2:7" ht="12.75">
      <c r="B7" s="308">
        <v>2</v>
      </c>
      <c r="C7" s="305">
        <v>5</v>
      </c>
      <c r="D7" s="238" t="s">
        <v>716</v>
      </c>
      <c r="E7" s="314">
        <v>218.10380800000001</v>
      </c>
      <c r="F7" s="321">
        <v>4.996</v>
      </c>
      <c r="G7" s="329">
        <v>4.998</v>
      </c>
    </row>
    <row r="8" spans="2:7" ht="12.75">
      <c r="B8" s="308">
        <v>3</v>
      </c>
      <c r="C8" s="305">
        <v>10</v>
      </c>
      <c r="D8" s="238" t="s">
        <v>717</v>
      </c>
      <c r="E8" s="314">
        <v>436.20761600000003</v>
      </c>
      <c r="F8" s="321">
        <v>10.01</v>
      </c>
      <c r="G8" s="329">
        <v>9.996</v>
      </c>
    </row>
    <row r="9" spans="2:7" ht="12.75">
      <c r="B9" s="308">
        <v>4</v>
      </c>
      <c r="C9" s="305">
        <v>25</v>
      </c>
      <c r="D9" s="238" t="s">
        <v>718</v>
      </c>
      <c r="E9" s="314">
        <v>1090.51904</v>
      </c>
      <c r="F9" s="321">
        <v>24.99</v>
      </c>
      <c r="G9" s="329">
        <v>24.99</v>
      </c>
    </row>
    <row r="10" spans="2:7" ht="12.75">
      <c r="B10" s="308">
        <v>5</v>
      </c>
      <c r="C10" s="305">
        <v>50</v>
      </c>
      <c r="D10" s="238" t="s">
        <v>719</v>
      </c>
      <c r="E10" s="314">
        <v>2181.03808</v>
      </c>
      <c r="F10" s="321">
        <v>49.99</v>
      </c>
      <c r="G10" s="332">
        <v>50</v>
      </c>
    </row>
    <row r="11" spans="2:7" ht="12.75">
      <c r="B11" s="308">
        <v>6</v>
      </c>
      <c r="C11" s="305">
        <v>75</v>
      </c>
      <c r="D11" s="238" t="s">
        <v>720</v>
      </c>
      <c r="E11" s="314">
        <v>3271.55712</v>
      </c>
      <c r="F11" s="321">
        <v>74.99</v>
      </c>
      <c r="G11" s="331">
        <v>100</v>
      </c>
    </row>
    <row r="12" spans="2:7" ht="12.75">
      <c r="B12" s="308">
        <v>7</v>
      </c>
      <c r="C12" s="305">
        <v>100</v>
      </c>
      <c r="D12" s="238" t="s">
        <v>721</v>
      </c>
      <c r="E12" s="314">
        <v>4362.07616</v>
      </c>
      <c r="F12" s="321">
        <v>100</v>
      </c>
      <c r="G12" s="331">
        <v>125</v>
      </c>
    </row>
    <row r="13" spans="2:7" ht="12.75">
      <c r="B13" s="308">
        <v>8</v>
      </c>
      <c r="C13" s="305">
        <v>125</v>
      </c>
      <c r="D13" s="238" t="s">
        <v>722</v>
      </c>
      <c r="E13" s="314">
        <v>5452.5952</v>
      </c>
      <c r="F13" s="321">
        <v>125</v>
      </c>
      <c r="G13" s="331">
        <v>150</v>
      </c>
    </row>
    <row r="14" spans="2:7" ht="12.75">
      <c r="B14" s="308">
        <v>9</v>
      </c>
      <c r="C14" s="305">
        <v>150</v>
      </c>
      <c r="D14" s="238" t="s">
        <v>723</v>
      </c>
      <c r="E14" s="314">
        <v>6543.11424</v>
      </c>
      <c r="F14" s="322">
        <v>150</v>
      </c>
      <c r="G14" s="331">
        <v>200</v>
      </c>
    </row>
    <row r="15" spans="2:7" ht="12.75">
      <c r="B15" s="308">
        <v>10</v>
      </c>
      <c r="C15" s="305">
        <v>200</v>
      </c>
      <c r="D15" s="238" t="s">
        <v>724</v>
      </c>
      <c r="E15" s="314">
        <v>8724.15232</v>
      </c>
      <c r="F15" s="322">
        <v>200.1</v>
      </c>
      <c r="G15" s="331">
        <v>250</v>
      </c>
    </row>
    <row r="16" spans="2:7" ht="12.75">
      <c r="B16" s="308">
        <v>11</v>
      </c>
      <c r="C16" s="305">
        <v>250</v>
      </c>
      <c r="D16" s="238" t="s">
        <v>725</v>
      </c>
      <c r="E16" s="314">
        <v>10905.1904</v>
      </c>
      <c r="F16" s="322">
        <v>250</v>
      </c>
      <c r="G16" s="331">
        <v>250</v>
      </c>
    </row>
    <row r="17" spans="2:7" ht="12.75">
      <c r="B17" s="308">
        <v>12</v>
      </c>
      <c r="C17" s="305">
        <v>300</v>
      </c>
      <c r="D17" s="238" t="s">
        <v>726</v>
      </c>
      <c r="E17" s="314">
        <v>13086.22848</v>
      </c>
      <c r="F17" s="322">
        <v>300.1</v>
      </c>
      <c r="G17" s="331">
        <v>300</v>
      </c>
    </row>
    <row r="18" spans="2:7" ht="12.75">
      <c r="B18" s="308">
        <v>13</v>
      </c>
      <c r="C18" s="305">
        <v>350</v>
      </c>
      <c r="D18" s="238" t="s">
        <v>727</v>
      </c>
      <c r="E18" s="314">
        <v>15267.26656</v>
      </c>
      <c r="F18" s="322">
        <v>350.1</v>
      </c>
      <c r="G18" s="331">
        <v>350</v>
      </c>
    </row>
    <row r="19" spans="2:7" ht="12.75">
      <c r="B19" s="308">
        <v>14</v>
      </c>
      <c r="C19" s="305">
        <v>400</v>
      </c>
      <c r="D19" s="238" t="s">
        <v>728</v>
      </c>
      <c r="E19" s="314">
        <v>17448.30464</v>
      </c>
      <c r="F19" s="322">
        <v>400.2</v>
      </c>
      <c r="G19" s="331">
        <v>400</v>
      </c>
    </row>
    <row r="20" spans="2:7" ht="12.75">
      <c r="B20" s="308">
        <v>15</v>
      </c>
      <c r="C20" s="305">
        <v>450</v>
      </c>
      <c r="D20" s="238" t="s">
        <v>729</v>
      </c>
      <c r="E20" s="314">
        <v>19629.34272</v>
      </c>
      <c r="F20" s="322">
        <v>450</v>
      </c>
      <c r="G20" s="331">
        <v>450</v>
      </c>
    </row>
    <row r="21" spans="2:7" ht="12.75">
      <c r="B21" s="308">
        <v>16</v>
      </c>
      <c r="C21" s="305">
        <v>500</v>
      </c>
      <c r="D21" s="238" t="s">
        <v>730</v>
      </c>
      <c r="E21" s="314">
        <v>21810.3808</v>
      </c>
      <c r="F21" s="322">
        <v>500.1</v>
      </c>
      <c r="G21" s="331">
        <v>500</v>
      </c>
    </row>
    <row r="22" spans="2:7" ht="12.75">
      <c r="B22" s="308">
        <v>17</v>
      </c>
      <c r="C22" s="305">
        <v>550</v>
      </c>
      <c r="D22" s="238" t="s">
        <v>731</v>
      </c>
      <c r="E22" s="314">
        <v>23991.41888</v>
      </c>
      <c r="F22" s="322">
        <v>550</v>
      </c>
      <c r="G22" s="331">
        <v>550</v>
      </c>
    </row>
    <row r="23" spans="2:7" ht="12.75">
      <c r="B23" s="308">
        <v>18</v>
      </c>
      <c r="C23" s="305">
        <v>600</v>
      </c>
      <c r="D23" s="238" t="s">
        <v>732</v>
      </c>
      <c r="E23" s="314">
        <v>26172.45696</v>
      </c>
      <c r="F23" s="322">
        <v>600</v>
      </c>
      <c r="G23" s="331">
        <v>600</v>
      </c>
    </row>
    <row r="24" spans="2:7" ht="12.75">
      <c r="B24" s="308">
        <v>19</v>
      </c>
      <c r="C24" s="305">
        <v>650</v>
      </c>
      <c r="D24" s="238" t="s">
        <v>733</v>
      </c>
      <c r="E24" s="314">
        <v>28353.49504</v>
      </c>
      <c r="F24" s="322">
        <v>650</v>
      </c>
      <c r="G24" s="331">
        <v>650</v>
      </c>
    </row>
    <row r="25" spans="2:7" ht="12.75">
      <c r="B25" s="308">
        <v>20</v>
      </c>
      <c r="C25" s="305">
        <v>700</v>
      </c>
      <c r="D25" s="238" t="s">
        <v>734</v>
      </c>
      <c r="E25" s="314">
        <v>30534.53312</v>
      </c>
      <c r="F25" s="322">
        <v>700</v>
      </c>
      <c r="G25" s="331">
        <v>700</v>
      </c>
    </row>
    <row r="26" spans="2:7" ht="12.75">
      <c r="B26" s="308">
        <v>21</v>
      </c>
      <c r="C26" s="305">
        <v>750</v>
      </c>
      <c r="D26" s="238" t="s">
        <v>735</v>
      </c>
      <c r="E26" s="314">
        <v>32715.571200000002</v>
      </c>
      <c r="F26" s="322">
        <v>750.1</v>
      </c>
      <c r="G26" s="331">
        <v>750</v>
      </c>
    </row>
    <row r="27" spans="2:7" ht="12.75">
      <c r="B27" s="308">
        <v>22</v>
      </c>
      <c r="C27" s="305">
        <v>800</v>
      </c>
      <c r="D27" s="238" t="s">
        <v>736</v>
      </c>
      <c r="E27" s="314">
        <v>34896.60928</v>
      </c>
      <c r="F27" s="322">
        <v>800.2</v>
      </c>
      <c r="G27" s="331">
        <v>800</v>
      </c>
    </row>
    <row r="28" spans="2:7" ht="12.75">
      <c r="B28" s="308">
        <v>23</v>
      </c>
      <c r="C28" s="305">
        <v>850</v>
      </c>
      <c r="D28" s="238" t="s">
        <v>737</v>
      </c>
      <c r="E28" s="314">
        <v>37077.64736</v>
      </c>
      <c r="F28" s="322">
        <v>850.1</v>
      </c>
      <c r="G28" s="331">
        <v>850.1</v>
      </c>
    </row>
    <row r="29" spans="2:7" ht="12.75">
      <c r="B29" s="308">
        <v>24</v>
      </c>
      <c r="C29" s="305">
        <v>900</v>
      </c>
      <c r="D29" s="238" t="s">
        <v>738</v>
      </c>
      <c r="E29" s="314">
        <v>39258.68544</v>
      </c>
      <c r="F29" s="322">
        <v>900.2</v>
      </c>
      <c r="G29" s="331">
        <v>900.1</v>
      </c>
    </row>
    <row r="30" spans="2:7" ht="12.75">
      <c r="B30" s="308">
        <v>25</v>
      </c>
      <c r="C30" s="305">
        <v>950</v>
      </c>
      <c r="D30" s="238" t="s">
        <v>739</v>
      </c>
      <c r="E30" s="314">
        <v>41439.72352</v>
      </c>
      <c r="F30" s="322">
        <v>950</v>
      </c>
      <c r="G30" s="331">
        <v>950.1</v>
      </c>
    </row>
    <row r="31" spans="2:7" ht="12.75">
      <c r="B31" s="308">
        <v>26</v>
      </c>
      <c r="C31" s="305">
        <v>1000</v>
      </c>
      <c r="D31" s="238" t="s">
        <v>740</v>
      </c>
      <c r="E31" s="314">
        <v>43620.7616</v>
      </c>
      <c r="F31" s="322">
        <v>1001</v>
      </c>
      <c r="G31" s="333">
        <v>1000</v>
      </c>
    </row>
    <row r="32" spans="2:7" ht="12.75">
      <c r="B32" s="308">
        <v>27</v>
      </c>
      <c r="C32" s="305">
        <v>1050</v>
      </c>
      <c r="D32" s="238" t="s">
        <v>741</v>
      </c>
      <c r="E32" s="314">
        <v>45801.799680000004</v>
      </c>
      <c r="F32" s="322">
        <v>1050</v>
      </c>
      <c r="G32" s="333">
        <v>1050</v>
      </c>
    </row>
    <row r="33" spans="2:7" ht="12.75">
      <c r="B33" s="308">
        <v>28</v>
      </c>
      <c r="C33" s="305">
        <v>1100</v>
      </c>
      <c r="D33" s="238" t="s">
        <v>742</v>
      </c>
      <c r="E33" s="314">
        <v>47982.83776</v>
      </c>
      <c r="F33" s="322">
        <v>1100</v>
      </c>
      <c r="G33" s="333">
        <v>1100</v>
      </c>
    </row>
    <row r="34" spans="2:7" ht="12.75">
      <c r="B34" s="308">
        <v>29</v>
      </c>
      <c r="C34" s="305">
        <v>1150</v>
      </c>
      <c r="D34" s="238" t="s">
        <v>743</v>
      </c>
      <c r="E34" s="314">
        <v>50163.87584</v>
      </c>
      <c r="F34" s="322">
        <v>1150</v>
      </c>
      <c r="G34" s="333">
        <v>1150</v>
      </c>
    </row>
    <row r="35" spans="2:7" ht="12.75">
      <c r="B35" s="308">
        <v>30</v>
      </c>
      <c r="C35" s="305">
        <v>1200</v>
      </c>
      <c r="D35" s="238" t="s">
        <v>744</v>
      </c>
      <c r="E35" s="314">
        <v>52344.91392</v>
      </c>
      <c r="F35" s="322">
        <v>1200</v>
      </c>
      <c r="G35" s="333">
        <v>1200</v>
      </c>
    </row>
    <row r="36" spans="2:7" ht="12.75">
      <c r="B36" s="308">
        <v>31</v>
      </c>
      <c r="C36" s="305">
        <v>1250</v>
      </c>
      <c r="D36" s="238" t="s">
        <v>745</v>
      </c>
      <c r="E36" s="314">
        <v>54525.952</v>
      </c>
      <c r="F36" s="322">
        <v>1250</v>
      </c>
      <c r="G36" s="333">
        <v>1250</v>
      </c>
    </row>
    <row r="37" spans="2:7" ht="12.75">
      <c r="B37" s="308">
        <v>32</v>
      </c>
      <c r="C37" s="305">
        <v>1300</v>
      </c>
      <c r="D37" s="238" t="s">
        <v>746</v>
      </c>
      <c r="E37" s="314">
        <v>56706.99008</v>
      </c>
      <c r="F37" s="322">
        <v>1300</v>
      </c>
      <c r="G37" s="333">
        <v>1300</v>
      </c>
    </row>
    <row r="38" spans="2:7" ht="12.75">
      <c r="B38" s="308">
        <v>33</v>
      </c>
      <c r="C38" s="305">
        <v>1350</v>
      </c>
      <c r="D38" s="238" t="s">
        <v>747</v>
      </c>
      <c r="E38" s="314">
        <v>58888.02816</v>
      </c>
      <c r="F38" s="322">
        <v>1350</v>
      </c>
      <c r="G38" s="333">
        <v>1350</v>
      </c>
    </row>
    <row r="39" spans="2:7" ht="13.5" thickBot="1">
      <c r="B39" s="310">
        <v>34</v>
      </c>
      <c r="C39" s="311">
        <v>1400</v>
      </c>
      <c r="D39" s="312" t="s">
        <v>748</v>
      </c>
      <c r="E39" s="315">
        <v>61069.06624</v>
      </c>
      <c r="F39" s="322">
        <v>1400</v>
      </c>
      <c r="G39" s="333">
        <v>1400</v>
      </c>
    </row>
    <row r="40" spans="2:7" ht="13.5" thickBot="1">
      <c r="B40" s="318">
        <v>35</v>
      </c>
      <c r="C40" s="313">
        <v>1500</v>
      </c>
      <c r="D40" s="274" t="s">
        <v>749</v>
      </c>
      <c r="E40" s="316">
        <v>65431.142400000004</v>
      </c>
      <c r="F40" s="322">
        <v>1500</v>
      </c>
      <c r="G40" s="333">
        <v>1500</v>
      </c>
    </row>
    <row r="41" spans="2:7" ht="13.5" thickBot="1">
      <c r="B41" s="231">
        <v>0</v>
      </c>
      <c r="C41" s="313">
        <v>0.1</v>
      </c>
      <c r="D41" s="274" t="s">
        <v>714</v>
      </c>
      <c r="E41" s="316">
        <v>4.362076160000001</v>
      </c>
      <c r="F41" s="323">
        <v>0.0916</v>
      </c>
      <c r="G41" s="330"/>
    </row>
    <row r="42" spans="6:7" ht="12.75">
      <c r="F42" t="s">
        <v>707</v>
      </c>
      <c r="G42" t="s">
        <v>761</v>
      </c>
    </row>
    <row r="43" spans="6:7" ht="12.75">
      <c r="F43" t="s">
        <v>758</v>
      </c>
      <c r="G43" t="s">
        <v>758</v>
      </c>
    </row>
    <row r="44" spans="6:7" ht="12.75">
      <c r="F44" t="s">
        <v>760</v>
      </c>
      <c r="G44" t="s">
        <v>756</v>
      </c>
    </row>
    <row r="45" spans="6:7" ht="12.75">
      <c r="F45" t="s">
        <v>759</v>
      </c>
      <c r="G45" t="s">
        <v>757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&amp;L&amp;F     &amp;A&amp;R&amp;D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S78"/>
  <sheetViews>
    <sheetView tabSelected="1" workbookViewId="0" topLeftCell="A1">
      <selection activeCell="C77" sqref="C77:D77"/>
    </sheetView>
  </sheetViews>
  <sheetFormatPr defaultColWidth="11.421875" defaultRowHeight="12.75"/>
  <cols>
    <col min="1" max="1" width="9.140625" style="0" customWidth="1"/>
    <col min="2" max="2" width="10.00390625" style="0" customWidth="1"/>
    <col min="3" max="3" width="12.57421875" style="0" bestFit="1" customWidth="1"/>
    <col min="4" max="5" width="10.8515625" style="83" customWidth="1"/>
    <col min="6" max="6" width="12.28125" style="83" customWidth="1"/>
    <col min="7" max="7" width="11.57421875" style="0" customWidth="1"/>
    <col min="8" max="8" width="12.57421875" style="0" bestFit="1" customWidth="1"/>
    <col min="9" max="9" width="12.28125" style="0" bestFit="1" customWidth="1"/>
    <col min="11" max="11" width="4.8515625" style="0" customWidth="1"/>
    <col min="12" max="12" width="10.28125" style="0" customWidth="1"/>
    <col min="13" max="13" width="35.8515625" style="101" customWidth="1"/>
    <col min="14" max="14" width="34.140625" style="0" customWidth="1"/>
  </cols>
  <sheetData>
    <row r="1" ht="13.5" thickBot="1">
      <c r="H1" t="s">
        <v>713</v>
      </c>
    </row>
    <row r="2" spans="1:4" ht="13.5" thickBot="1">
      <c r="A2" s="83"/>
      <c r="B2" s="230" t="s">
        <v>691</v>
      </c>
      <c r="C2" s="242">
        <v>40</v>
      </c>
      <c r="D2" s="241" t="s">
        <v>395</v>
      </c>
    </row>
    <row r="3" spans="2:12" ht="13.5" thickBot="1">
      <c r="B3" s="214" t="s">
        <v>460</v>
      </c>
      <c r="C3" s="215" t="s">
        <v>461</v>
      </c>
      <c r="D3" s="216" t="s">
        <v>462</v>
      </c>
      <c r="E3" s="216" t="s">
        <v>463</v>
      </c>
      <c r="F3" s="216" t="s">
        <v>464</v>
      </c>
      <c r="G3" s="216" t="s">
        <v>465</v>
      </c>
      <c r="H3" s="217" t="s">
        <v>466</v>
      </c>
      <c r="I3" s="218">
        <v>0</v>
      </c>
      <c r="J3" s="219" t="s">
        <v>376</v>
      </c>
      <c r="L3" s="232" t="str">
        <f>H3</f>
        <v>Hexa</v>
      </c>
    </row>
    <row r="4" spans="1:16" ht="12.75">
      <c r="A4">
        <v>0</v>
      </c>
      <c r="B4" s="225">
        <v>1</v>
      </c>
      <c r="C4" s="221">
        <f>(nb_pas_DAC/256)*B4*(4/$C$2)*16777216/(1000000/$E$51)</f>
        <v>23.4881024</v>
      </c>
      <c r="D4" s="220">
        <f aca="true" t="shared" si="0" ref="D4:D41">INT(C4/65536)</f>
        <v>0</v>
      </c>
      <c r="E4" s="220">
        <f aca="true" t="shared" si="1" ref="E4:E18">INT((C4-(D4*65536))/256)</f>
        <v>0</v>
      </c>
      <c r="F4" s="220">
        <f aca="true" t="shared" si="2" ref="F4:F18">INT(C4-(D4*65536)-(E4*256))</f>
        <v>23</v>
      </c>
      <c r="G4" s="234" t="str">
        <f aca="true" t="shared" si="3" ref="G4:G18">INDEX(zone1,INT(D4/16)+1,2)&amp;INDEX(zone1,D4-INT(D4/16)*16+1,2)&amp;INDEX(zone1,INT(E4/16)+1,2)&amp;INDEX(zone1,E4-INT(E4/16)*16+1,2)&amp;INDEX(zone1,INT(F4/16)+1,2)&amp;INDEX(zone1,F4-INT(F4/16)*16+1,2)</f>
        <v>000017</v>
      </c>
      <c r="H4" s="236" t="str">
        <f aca="true" t="shared" si="4" ref="H4:H41">LEFT(G4,2)&amp;" "&amp;MID(G4,3,2)&amp;" "&amp;RIGHT(G4,2)</f>
        <v>00 00 17</v>
      </c>
      <c r="I4" s="218">
        <v>1</v>
      </c>
      <c r="J4" s="219" t="s">
        <v>377</v>
      </c>
      <c r="K4" s="245">
        <v>0</v>
      </c>
      <c r="L4" s="232" t="str">
        <f>H4</f>
        <v>00 00 17</v>
      </c>
      <c r="M4" s="240" t="str">
        <f aca="true" t="shared" si="5" ref="M4:M9">"         dt    0x"&amp;LEFT(L4,2)&amp;", 0x"&amp;MID(H4,4,2)&amp;", 0x"&amp;RIGHT(L4,2)&amp;"     ;"&amp;FIXED(B4,0,1)&amp;"Hz"</f>
        <v>         dt    0x00, 0x00, 0x17     ;1Hz</v>
      </c>
      <c r="N4" t="str">
        <f>"       DT    """&amp;REPT(" ",4-O4)&amp;P4&amp;""""</f>
        <v>       DT    "   1"</v>
      </c>
      <c r="O4">
        <f>LEN(P4)</f>
        <v>1</v>
      </c>
      <c r="P4" t="str">
        <f>FIXED(B4,0,1)</f>
        <v>1</v>
      </c>
    </row>
    <row r="5" spans="1:16" ht="12.75">
      <c r="A5">
        <v>1</v>
      </c>
      <c r="B5" s="225">
        <v>5</v>
      </c>
      <c r="C5" s="221">
        <f aca="true" t="shared" si="6" ref="C5:C41">(nb_pas_DAC/256)*B5*(4/$C$2)*16777216/(1000000/$E$51)</f>
        <v>117.44051199999998</v>
      </c>
      <c r="D5" s="220">
        <f t="shared" si="0"/>
        <v>0</v>
      </c>
      <c r="E5" s="220">
        <f>INT((C5-(D5*65536))/256)</f>
        <v>0</v>
      </c>
      <c r="F5" s="220">
        <f>INT(C5-(D5*65536)-(E5*256))</f>
        <v>117</v>
      </c>
      <c r="G5" s="234" t="str">
        <f>INDEX(zone1,INT(D5/16)+1,2)&amp;INDEX(zone1,D5-INT(D5/16)*16+1,2)&amp;INDEX(zone1,INT(E5/16)+1,2)&amp;INDEX(zone1,E5-INT(E5/16)*16+1,2)&amp;INDEX(zone1,INT(F5/16)+1,2)&amp;INDEX(zone1,F5-INT(F5/16)*16+1,2)</f>
        <v>000075</v>
      </c>
      <c r="H5" s="237" t="str">
        <f t="shared" si="4"/>
        <v>00 00 75</v>
      </c>
      <c r="I5" s="218">
        <v>2</v>
      </c>
      <c r="J5" s="219" t="s">
        <v>378</v>
      </c>
      <c r="K5" s="245">
        <v>1</v>
      </c>
      <c r="L5" s="232" t="str">
        <f>H5</f>
        <v>00 00 75</v>
      </c>
      <c r="M5" s="240" t="str">
        <f t="shared" si="5"/>
        <v>         dt    0x00, 0x00, 0x75     ;5Hz</v>
      </c>
      <c r="N5" t="str">
        <f aca="true" t="shared" si="7" ref="N5:N27">"       DT    """&amp;REPT(" ",4-O5)&amp;P5&amp;""""</f>
        <v>       DT    "   5"</v>
      </c>
      <c r="O5">
        <f aca="true" t="shared" si="8" ref="O5:O39">LEN(P5)</f>
        <v>1</v>
      </c>
      <c r="P5" t="str">
        <f aca="true" t="shared" si="9" ref="P5:P39">FIXED(B5,0,1)</f>
        <v>5</v>
      </c>
    </row>
    <row r="6" spans="1:16" ht="12.75">
      <c r="A6">
        <v>2</v>
      </c>
      <c r="B6" s="226">
        <v>25</v>
      </c>
      <c r="C6" s="221">
        <f t="shared" si="6"/>
        <v>587.20256</v>
      </c>
      <c r="D6" s="222">
        <f t="shared" si="0"/>
        <v>0</v>
      </c>
      <c r="E6" s="222">
        <f t="shared" si="1"/>
        <v>2</v>
      </c>
      <c r="F6" s="222">
        <f t="shared" si="2"/>
        <v>75</v>
      </c>
      <c r="G6" s="235" t="str">
        <f t="shared" si="3"/>
        <v>00024B</v>
      </c>
      <c r="H6" s="238" t="str">
        <f t="shared" si="4"/>
        <v>00 02 4B</v>
      </c>
      <c r="I6" s="218">
        <v>3</v>
      </c>
      <c r="J6" s="219" t="s">
        <v>379</v>
      </c>
      <c r="K6" s="245">
        <v>2</v>
      </c>
      <c r="L6" s="232" t="str">
        <f aca="true" t="shared" si="10" ref="L6:L35">H6</f>
        <v>00 02 4B</v>
      </c>
      <c r="M6" s="240" t="str">
        <f t="shared" si="5"/>
        <v>         dt    0x00, 0x02, 0x4B     ;25Hz</v>
      </c>
      <c r="N6" t="str">
        <f t="shared" si="7"/>
        <v>       DT    "  25"</v>
      </c>
      <c r="O6">
        <f t="shared" si="8"/>
        <v>2</v>
      </c>
      <c r="P6" t="str">
        <f t="shared" si="9"/>
        <v>25</v>
      </c>
    </row>
    <row r="7" spans="1:16" ht="12.75">
      <c r="A7">
        <v>3</v>
      </c>
      <c r="B7" s="226">
        <v>100</v>
      </c>
      <c r="C7" s="221">
        <f t="shared" si="6"/>
        <v>2348.81024</v>
      </c>
      <c r="D7" s="222">
        <f t="shared" si="0"/>
        <v>0</v>
      </c>
      <c r="E7" s="222">
        <f>INT((C7-(D7*65536))/256)</f>
        <v>9</v>
      </c>
      <c r="F7" s="222">
        <f>INT(C7-(D7*65536)-(E7*256))</f>
        <v>44</v>
      </c>
      <c r="G7" s="235" t="str">
        <f>INDEX(zone1,INT(D7/16)+1,2)&amp;INDEX(zone1,D7-INT(D7/16)*16+1,2)&amp;INDEX(zone1,INT(E7/16)+1,2)&amp;INDEX(zone1,E7-INT(E7/16)*16+1,2)&amp;INDEX(zone1,INT(F7/16)+1,2)&amp;INDEX(zone1,F7-INT(F7/16)*16+1,2)</f>
        <v>00092C</v>
      </c>
      <c r="H7" s="238" t="str">
        <f t="shared" si="4"/>
        <v>00 09 2C</v>
      </c>
      <c r="I7" s="218">
        <v>4</v>
      </c>
      <c r="J7" s="219" t="s">
        <v>380</v>
      </c>
      <c r="K7" s="245">
        <v>3</v>
      </c>
      <c r="L7" s="232" t="str">
        <f t="shared" si="10"/>
        <v>00 09 2C</v>
      </c>
      <c r="M7" s="240" t="str">
        <f t="shared" si="5"/>
        <v>         dt    0x00, 0x09, 0x2C     ;100Hz</v>
      </c>
      <c r="N7" t="str">
        <f t="shared" si="7"/>
        <v>       DT    " 100"</v>
      </c>
      <c r="O7">
        <f t="shared" si="8"/>
        <v>3</v>
      </c>
      <c r="P7" t="str">
        <f t="shared" si="9"/>
        <v>100</v>
      </c>
    </row>
    <row r="8" spans="1:16" ht="12.75">
      <c r="A8">
        <v>4</v>
      </c>
      <c r="B8" s="226">
        <v>250</v>
      </c>
      <c r="C8" s="221">
        <f t="shared" si="6"/>
        <v>5872.0256</v>
      </c>
      <c r="D8" s="222">
        <f t="shared" si="0"/>
        <v>0</v>
      </c>
      <c r="E8" s="222">
        <f t="shared" si="1"/>
        <v>22</v>
      </c>
      <c r="F8" s="222">
        <f t="shared" si="2"/>
        <v>240</v>
      </c>
      <c r="G8" s="235" t="str">
        <f t="shared" si="3"/>
        <v>0016F0</v>
      </c>
      <c r="H8" s="238" t="str">
        <f t="shared" si="4"/>
        <v>00 16 F0</v>
      </c>
      <c r="I8" s="218">
        <v>5</v>
      </c>
      <c r="J8" s="219" t="s">
        <v>381</v>
      </c>
      <c r="K8" s="245">
        <v>4</v>
      </c>
      <c r="L8" s="232" t="str">
        <f t="shared" si="10"/>
        <v>00 16 F0</v>
      </c>
      <c r="M8" s="240" t="str">
        <f t="shared" si="5"/>
        <v>         dt    0x00, 0x16, 0xF0     ;250Hz</v>
      </c>
      <c r="N8" t="str">
        <f t="shared" si="7"/>
        <v>       DT    " 250"</v>
      </c>
      <c r="O8">
        <f t="shared" si="8"/>
        <v>3</v>
      </c>
      <c r="P8" t="str">
        <f t="shared" si="9"/>
        <v>250</v>
      </c>
    </row>
    <row r="9" spans="1:16" ht="12.75">
      <c r="A9">
        <v>5</v>
      </c>
      <c r="B9" s="226">
        <v>500</v>
      </c>
      <c r="C9" s="221">
        <f t="shared" si="6"/>
        <v>11744.0512</v>
      </c>
      <c r="D9" s="222">
        <f t="shared" si="0"/>
        <v>0</v>
      </c>
      <c r="E9" s="222">
        <f t="shared" si="1"/>
        <v>45</v>
      </c>
      <c r="F9" s="222">
        <f t="shared" si="2"/>
        <v>224</v>
      </c>
      <c r="G9" s="235" t="str">
        <f t="shared" si="3"/>
        <v>002DE0</v>
      </c>
      <c r="H9" s="238" t="str">
        <f t="shared" si="4"/>
        <v>00 2D E0</v>
      </c>
      <c r="I9" s="218">
        <v>6</v>
      </c>
      <c r="J9" s="219" t="s">
        <v>382</v>
      </c>
      <c r="K9" s="245">
        <v>5</v>
      </c>
      <c r="L9" s="232" t="str">
        <f t="shared" si="10"/>
        <v>00 2D E0</v>
      </c>
      <c r="M9" s="240" t="str">
        <f t="shared" si="5"/>
        <v>         dt    0x00, 0x2D, 0xE0     ;500Hz</v>
      </c>
      <c r="N9" t="str">
        <f t="shared" si="7"/>
        <v>       DT    " 500"</v>
      </c>
      <c r="O9">
        <f t="shared" si="8"/>
        <v>3</v>
      </c>
      <c r="P9" t="str">
        <f t="shared" si="9"/>
        <v>500</v>
      </c>
    </row>
    <row r="10" spans="1:16" ht="12.75">
      <c r="A10">
        <v>6</v>
      </c>
      <c r="B10" s="226">
        <v>750</v>
      </c>
      <c r="C10" s="221">
        <f t="shared" si="6"/>
        <v>17616.0768</v>
      </c>
      <c r="D10" s="222">
        <f t="shared" si="0"/>
        <v>0</v>
      </c>
      <c r="E10" s="222">
        <f t="shared" si="1"/>
        <v>68</v>
      </c>
      <c r="F10" s="222">
        <f t="shared" si="2"/>
        <v>208</v>
      </c>
      <c r="G10" s="235" t="str">
        <f t="shared" si="3"/>
        <v>0044D0</v>
      </c>
      <c r="H10" s="238" t="str">
        <f t="shared" si="4"/>
        <v>00 44 D0</v>
      </c>
      <c r="I10" s="218">
        <v>7</v>
      </c>
      <c r="J10" s="219" t="s">
        <v>383</v>
      </c>
      <c r="K10" s="245">
        <v>6</v>
      </c>
      <c r="L10" s="232" t="str">
        <f t="shared" si="10"/>
        <v>00 44 D0</v>
      </c>
      <c r="M10" s="240" t="str">
        <f>"         dt    0x"&amp;LEFT(L10,2)&amp;", 0x"&amp;MID(H10,4,2)&amp;", 0x"&amp;RIGHT(L10,2)&amp;"     ;"&amp;FIXED(B10,0,1)&amp;"Hz"</f>
        <v>         dt    0x00, 0x44, 0xD0     ;750Hz</v>
      </c>
      <c r="N10" t="str">
        <f t="shared" si="7"/>
        <v>       DT    " 750"</v>
      </c>
      <c r="O10">
        <f t="shared" si="8"/>
        <v>3</v>
      </c>
      <c r="P10" t="str">
        <f t="shared" si="9"/>
        <v>750</v>
      </c>
    </row>
    <row r="11" spans="1:19" ht="12.75">
      <c r="A11">
        <v>7</v>
      </c>
      <c r="B11" s="226">
        <v>1000</v>
      </c>
      <c r="C11" s="221">
        <f t="shared" si="6"/>
        <v>23488.1024</v>
      </c>
      <c r="D11" s="222">
        <f t="shared" si="0"/>
        <v>0</v>
      </c>
      <c r="E11" s="222">
        <f t="shared" si="1"/>
        <v>91</v>
      </c>
      <c r="F11" s="222">
        <f t="shared" si="2"/>
        <v>192</v>
      </c>
      <c r="G11" s="235" t="str">
        <f t="shared" si="3"/>
        <v>005BC0</v>
      </c>
      <c r="H11" s="238" t="str">
        <f t="shared" si="4"/>
        <v>00 5B C0</v>
      </c>
      <c r="I11" s="218">
        <v>8</v>
      </c>
      <c r="J11" s="219" t="s">
        <v>384</v>
      </c>
      <c r="K11" s="245">
        <v>7</v>
      </c>
      <c r="L11" s="232" t="str">
        <f t="shared" si="10"/>
        <v>00 5B C0</v>
      </c>
      <c r="M11" s="240" t="str">
        <f aca="true" t="shared" si="11" ref="M11:M35">"         dt    0x"&amp;LEFT(L11,2)&amp;", 0x"&amp;MID(H11,4,2)&amp;", 0x"&amp;RIGHT(L11,2)&amp;"     ;"&amp;FIXED(B11,0,1)&amp;"Hz"</f>
        <v>         dt    0x00, 0x5B, 0xC0     ;1000Hz</v>
      </c>
      <c r="N11" t="str">
        <f t="shared" si="7"/>
        <v>       DT    "1000"</v>
      </c>
      <c r="O11">
        <f t="shared" si="8"/>
        <v>4</v>
      </c>
      <c r="P11" t="str">
        <f t="shared" si="9"/>
        <v>1000</v>
      </c>
      <c r="R11">
        <v>0</v>
      </c>
      <c r="S11">
        <f>R11*4-R11</f>
        <v>0</v>
      </c>
    </row>
    <row r="12" spans="1:19" ht="12.75">
      <c r="A12">
        <v>8</v>
      </c>
      <c r="B12" s="226">
        <v>1200</v>
      </c>
      <c r="C12" s="221">
        <f t="shared" si="6"/>
        <v>28185.722879999998</v>
      </c>
      <c r="D12" s="222">
        <f t="shared" si="0"/>
        <v>0</v>
      </c>
      <c r="E12" s="222">
        <f t="shared" si="1"/>
        <v>110</v>
      </c>
      <c r="F12" s="222">
        <f t="shared" si="2"/>
        <v>25</v>
      </c>
      <c r="G12" s="235" t="str">
        <f t="shared" si="3"/>
        <v>006E19</v>
      </c>
      <c r="H12" s="238" t="str">
        <f t="shared" si="4"/>
        <v>00 6E 19</v>
      </c>
      <c r="I12" s="218">
        <v>9</v>
      </c>
      <c r="J12" s="219" t="s">
        <v>385</v>
      </c>
      <c r="K12" s="245">
        <v>8</v>
      </c>
      <c r="L12" s="232" t="str">
        <f t="shared" si="10"/>
        <v>00 6E 19</v>
      </c>
      <c r="M12" s="240" t="str">
        <f t="shared" si="11"/>
        <v>         dt    0x00, 0x6E, 0x19     ;1200Hz</v>
      </c>
      <c r="N12" t="str">
        <f t="shared" si="7"/>
        <v>       DT    "1200"</v>
      </c>
      <c r="O12">
        <f t="shared" si="8"/>
        <v>4</v>
      </c>
      <c r="P12" t="str">
        <f t="shared" si="9"/>
        <v>1200</v>
      </c>
      <c r="R12">
        <v>1</v>
      </c>
      <c r="S12">
        <f>R12*4-R12</f>
        <v>3</v>
      </c>
    </row>
    <row r="13" spans="1:19" ht="12.75">
      <c r="A13">
        <v>9</v>
      </c>
      <c r="B13" s="226">
        <v>1300</v>
      </c>
      <c r="C13" s="221">
        <f t="shared" si="6"/>
        <v>30534.533119999996</v>
      </c>
      <c r="D13" s="222">
        <f t="shared" si="0"/>
        <v>0</v>
      </c>
      <c r="E13" s="222">
        <f t="shared" si="1"/>
        <v>119</v>
      </c>
      <c r="F13" s="222">
        <f t="shared" si="2"/>
        <v>70</v>
      </c>
      <c r="G13" s="235" t="str">
        <f t="shared" si="3"/>
        <v>007746</v>
      </c>
      <c r="H13" s="238" t="str">
        <f t="shared" si="4"/>
        <v>00 77 46</v>
      </c>
      <c r="I13" s="218">
        <v>10</v>
      </c>
      <c r="J13" s="223" t="s">
        <v>386</v>
      </c>
      <c r="K13" s="245">
        <v>9</v>
      </c>
      <c r="L13" s="232" t="str">
        <f t="shared" si="10"/>
        <v>00 77 46</v>
      </c>
      <c r="M13" s="240" t="str">
        <f t="shared" si="11"/>
        <v>         dt    0x00, 0x77, 0x46     ;1300Hz</v>
      </c>
      <c r="N13" t="str">
        <f t="shared" si="7"/>
        <v>       DT    "1300"</v>
      </c>
      <c r="O13">
        <f t="shared" si="8"/>
        <v>4</v>
      </c>
      <c r="P13" t="str">
        <f t="shared" si="9"/>
        <v>1300</v>
      </c>
      <c r="R13">
        <v>2</v>
      </c>
      <c r="S13">
        <f aca="true" t="shared" si="12" ref="S13:S40">R13*4-R13</f>
        <v>6</v>
      </c>
    </row>
    <row r="14" spans="1:19" ht="12.75">
      <c r="A14">
        <v>10</v>
      </c>
      <c r="B14" s="226">
        <v>1400</v>
      </c>
      <c r="C14" s="221">
        <f t="shared" si="6"/>
        <v>32883.34336</v>
      </c>
      <c r="D14" s="222">
        <f t="shared" si="0"/>
        <v>0</v>
      </c>
      <c r="E14" s="222">
        <f t="shared" si="1"/>
        <v>128</v>
      </c>
      <c r="F14" s="222">
        <f t="shared" si="2"/>
        <v>115</v>
      </c>
      <c r="G14" s="235" t="str">
        <f t="shared" si="3"/>
        <v>008073</v>
      </c>
      <c r="H14" s="238" t="str">
        <f t="shared" si="4"/>
        <v>00 80 73</v>
      </c>
      <c r="I14" s="218">
        <v>11</v>
      </c>
      <c r="J14" s="223" t="s">
        <v>387</v>
      </c>
      <c r="K14" s="245">
        <v>10</v>
      </c>
      <c r="L14" s="232" t="str">
        <f t="shared" si="10"/>
        <v>00 80 73</v>
      </c>
      <c r="M14" s="240" t="str">
        <f t="shared" si="11"/>
        <v>         dt    0x00, 0x80, 0x73     ;1400Hz</v>
      </c>
      <c r="N14" t="str">
        <f t="shared" si="7"/>
        <v>       DT    "1400"</v>
      </c>
      <c r="O14">
        <f t="shared" si="8"/>
        <v>4</v>
      </c>
      <c r="P14" t="str">
        <f t="shared" si="9"/>
        <v>1400</v>
      </c>
      <c r="R14">
        <v>3</v>
      </c>
      <c r="S14">
        <f t="shared" si="12"/>
        <v>9</v>
      </c>
    </row>
    <row r="15" spans="1:19" ht="12.75">
      <c r="A15">
        <v>11</v>
      </c>
      <c r="B15" s="226">
        <v>1500</v>
      </c>
      <c r="C15" s="221">
        <f t="shared" si="6"/>
        <v>35232.1536</v>
      </c>
      <c r="D15" s="222">
        <f t="shared" si="0"/>
        <v>0</v>
      </c>
      <c r="E15" s="222">
        <f t="shared" si="1"/>
        <v>137</v>
      </c>
      <c r="F15" s="222">
        <f t="shared" si="2"/>
        <v>160</v>
      </c>
      <c r="G15" s="235" t="str">
        <f t="shared" si="3"/>
        <v>0089A0</v>
      </c>
      <c r="H15" s="238" t="str">
        <f t="shared" si="4"/>
        <v>00 89 A0</v>
      </c>
      <c r="I15" s="218">
        <v>12</v>
      </c>
      <c r="J15" s="223" t="s">
        <v>388</v>
      </c>
      <c r="K15" s="245">
        <v>11</v>
      </c>
      <c r="L15" s="232" t="str">
        <f t="shared" si="10"/>
        <v>00 89 A0</v>
      </c>
      <c r="M15" s="240" t="str">
        <f t="shared" si="11"/>
        <v>         dt    0x00, 0x89, 0xA0     ;1500Hz</v>
      </c>
      <c r="N15" t="str">
        <f t="shared" si="7"/>
        <v>       DT    "1500"</v>
      </c>
      <c r="O15">
        <f t="shared" si="8"/>
        <v>4</v>
      </c>
      <c r="P15" t="str">
        <f t="shared" si="9"/>
        <v>1500</v>
      </c>
      <c r="R15">
        <v>4</v>
      </c>
      <c r="S15">
        <f t="shared" si="12"/>
        <v>12</v>
      </c>
    </row>
    <row r="16" spans="1:19" ht="12.75">
      <c r="A16">
        <v>12</v>
      </c>
      <c r="B16" s="226">
        <v>2000</v>
      </c>
      <c r="C16" s="221">
        <f t="shared" si="6"/>
        <v>46976.2048</v>
      </c>
      <c r="D16" s="222">
        <f t="shared" si="0"/>
        <v>0</v>
      </c>
      <c r="E16" s="222">
        <f t="shared" si="1"/>
        <v>183</v>
      </c>
      <c r="F16" s="222">
        <f t="shared" si="2"/>
        <v>128</v>
      </c>
      <c r="G16" s="235" t="str">
        <f t="shared" si="3"/>
        <v>00B780</v>
      </c>
      <c r="H16" s="238" t="str">
        <f t="shared" si="4"/>
        <v>00 B7 80</v>
      </c>
      <c r="I16" s="218">
        <v>13</v>
      </c>
      <c r="J16" s="223" t="s">
        <v>389</v>
      </c>
      <c r="K16" s="245">
        <v>12</v>
      </c>
      <c r="L16" s="232" t="str">
        <f t="shared" si="10"/>
        <v>00 B7 80</v>
      </c>
      <c r="M16" s="240" t="str">
        <f t="shared" si="11"/>
        <v>         dt    0x00, 0xB7, 0x80     ;2000Hz</v>
      </c>
      <c r="N16" t="str">
        <f t="shared" si="7"/>
        <v>       DT    "2000"</v>
      </c>
      <c r="O16">
        <f t="shared" si="8"/>
        <v>4</v>
      </c>
      <c r="P16" t="str">
        <f t="shared" si="9"/>
        <v>2000</v>
      </c>
      <c r="R16">
        <v>5</v>
      </c>
      <c r="S16">
        <f t="shared" si="12"/>
        <v>15</v>
      </c>
    </row>
    <row r="17" spans="1:19" ht="12.75">
      <c r="A17">
        <v>13</v>
      </c>
      <c r="B17" s="226">
        <v>2100</v>
      </c>
      <c r="C17" s="221">
        <f t="shared" si="6"/>
        <v>49325.01504</v>
      </c>
      <c r="D17" s="222">
        <f t="shared" si="0"/>
        <v>0</v>
      </c>
      <c r="E17" s="222">
        <f t="shared" si="1"/>
        <v>192</v>
      </c>
      <c r="F17" s="222">
        <f t="shared" si="2"/>
        <v>173</v>
      </c>
      <c r="G17" s="235" t="str">
        <f t="shared" si="3"/>
        <v>00C0AD</v>
      </c>
      <c r="H17" s="238" t="str">
        <f t="shared" si="4"/>
        <v>00 C0 AD</v>
      </c>
      <c r="I17" s="218">
        <v>14</v>
      </c>
      <c r="J17" s="223" t="s">
        <v>390</v>
      </c>
      <c r="K17" s="245">
        <v>13</v>
      </c>
      <c r="L17" s="232" t="str">
        <f t="shared" si="10"/>
        <v>00 C0 AD</v>
      </c>
      <c r="M17" s="240" t="str">
        <f t="shared" si="11"/>
        <v>         dt    0x00, 0xC0, 0xAD     ;2100Hz</v>
      </c>
      <c r="N17" t="str">
        <f t="shared" si="7"/>
        <v>       DT    "2100"</v>
      </c>
      <c r="O17">
        <f t="shared" si="8"/>
        <v>4</v>
      </c>
      <c r="P17" t="str">
        <f t="shared" si="9"/>
        <v>2100</v>
      </c>
      <c r="R17">
        <v>6</v>
      </c>
      <c r="S17">
        <f t="shared" si="12"/>
        <v>18</v>
      </c>
    </row>
    <row r="18" spans="1:19" ht="12.75">
      <c r="A18">
        <v>14</v>
      </c>
      <c r="B18" s="226">
        <v>2200</v>
      </c>
      <c r="C18" s="221">
        <f t="shared" si="6"/>
        <v>51673.82528</v>
      </c>
      <c r="D18" s="222">
        <f t="shared" si="0"/>
        <v>0</v>
      </c>
      <c r="E18" s="222">
        <f t="shared" si="1"/>
        <v>201</v>
      </c>
      <c r="F18" s="222">
        <f t="shared" si="2"/>
        <v>217</v>
      </c>
      <c r="G18" s="235" t="str">
        <f t="shared" si="3"/>
        <v>00C9D9</v>
      </c>
      <c r="H18" s="238" t="str">
        <f t="shared" si="4"/>
        <v>00 C9 D9</v>
      </c>
      <c r="I18" s="218">
        <v>15</v>
      </c>
      <c r="J18" s="223" t="s">
        <v>391</v>
      </c>
      <c r="K18" s="245">
        <v>14</v>
      </c>
      <c r="L18" s="232" t="str">
        <f t="shared" si="10"/>
        <v>00 C9 D9</v>
      </c>
      <c r="M18" s="240" t="str">
        <f t="shared" si="11"/>
        <v>         dt    0x00, 0xC9, 0xD9     ;2200Hz</v>
      </c>
      <c r="N18" t="str">
        <f t="shared" si="7"/>
        <v>       DT    "2200"</v>
      </c>
      <c r="O18">
        <f t="shared" si="8"/>
        <v>4</v>
      </c>
      <c r="P18" t="str">
        <f t="shared" si="9"/>
        <v>2200</v>
      </c>
      <c r="R18">
        <v>7</v>
      </c>
      <c r="S18">
        <f t="shared" si="12"/>
        <v>21</v>
      </c>
    </row>
    <row r="19" spans="1:19" ht="12.75">
      <c r="A19">
        <v>15</v>
      </c>
      <c r="B19" s="226">
        <v>2300</v>
      </c>
      <c r="C19" s="221">
        <f t="shared" si="6"/>
        <v>54022.635519999996</v>
      </c>
      <c r="D19" s="222">
        <f t="shared" si="0"/>
        <v>0</v>
      </c>
      <c r="E19" s="222">
        <f aca="true" t="shared" si="13" ref="E19:E35">INT((C19-(D19*65536))/256)</f>
        <v>211</v>
      </c>
      <c r="F19" s="222">
        <f aca="true" t="shared" si="14" ref="F19:F35">INT(C19-(D19*65536)-(E19*256))</f>
        <v>6</v>
      </c>
      <c r="G19" s="235" t="str">
        <f aca="true" t="shared" si="15" ref="G19:G35">INDEX(zone1,INT(D19/16)+1,2)&amp;INDEX(zone1,D19-INT(D19/16)*16+1,2)&amp;INDEX(zone1,INT(E19/16)+1,2)&amp;INDEX(zone1,E19-INT(E19/16)*16+1,2)&amp;INDEX(zone1,INT(F19/16)+1,2)&amp;INDEX(zone1,F19-INT(F19/16)*16+1,2)</f>
        <v>00D306</v>
      </c>
      <c r="H19" s="238" t="str">
        <f t="shared" si="4"/>
        <v>00 D3 06</v>
      </c>
      <c r="K19" s="245">
        <v>15</v>
      </c>
      <c r="L19" s="232" t="str">
        <f t="shared" si="10"/>
        <v>00 D3 06</v>
      </c>
      <c r="M19" s="240" t="str">
        <f t="shared" si="11"/>
        <v>         dt    0x00, 0xD3, 0x06     ;2300Hz</v>
      </c>
      <c r="N19" t="str">
        <f t="shared" si="7"/>
        <v>       DT    "2300"</v>
      </c>
      <c r="O19">
        <f t="shared" si="8"/>
        <v>4</v>
      </c>
      <c r="P19" t="str">
        <f t="shared" si="9"/>
        <v>2300</v>
      </c>
      <c r="R19">
        <v>8</v>
      </c>
      <c r="S19">
        <f t="shared" si="12"/>
        <v>24</v>
      </c>
    </row>
    <row r="20" spans="1:19" ht="12.75">
      <c r="A20">
        <v>16</v>
      </c>
      <c r="B20" s="226">
        <v>2500</v>
      </c>
      <c r="C20" s="221">
        <f t="shared" si="6"/>
        <v>58720.255999999994</v>
      </c>
      <c r="D20" s="222">
        <f t="shared" si="0"/>
        <v>0</v>
      </c>
      <c r="E20" s="222">
        <f t="shared" si="13"/>
        <v>229</v>
      </c>
      <c r="F20" s="222">
        <f t="shared" si="14"/>
        <v>96</v>
      </c>
      <c r="G20" s="235" t="str">
        <f t="shared" si="15"/>
        <v>00E560</v>
      </c>
      <c r="H20" s="238" t="str">
        <f t="shared" si="4"/>
        <v>00 E5 60</v>
      </c>
      <c r="I20" s="233"/>
      <c r="J20" s="233"/>
      <c r="K20" s="245">
        <v>16</v>
      </c>
      <c r="L20" s="232" t="str">
        <f t="shared" si="10"/>
        <v>00 E5 60</v>
      </c>
      <c r="M20" s="240" t="str">
        <f t="shared" si="11"/>
        <v>         dt    0x00, 0xE5, 0x60     ;2500Hz</v>
      </c>
      <c r="N20" t="str">
        <f t="shared" si="7"/>
        <v>       DT    "2500"</v>
      </c>
      <c r="O20">
        <f t="shared" si="8"/>
        <v>4</v>
      </c>
      <c r="P20" t="str">
        <f t="shared" si="9"/>
        <v>2500</v>
      </c>
      <c r="R20">
        <v>9</v>
      </c>
      <c r="S20">
        <f t="shared" si="12"/>
        <v>27</v>
      </c>
    </row>
    <row r="21" spans="1:19" ht="12.75">
      <c r="A21">
        <v>17</v>
      </c>
      <c r="B21" s="226">
        <v>3000</v>
      </c>
      <c r="C21" s="221">
        <f t="shared" si="6"/>
        <v>70464.3072</v>
      </c>
      <c r="D21" s="222">
        <f t="shared" si="0"/>
        <v>1</v>
      </c>
      <c r="E21" s="222">
        <f t="shared" si="13"/>
        <v>19</v>
      </c>
      <c r="F21" s="222">
        <f t="shared" si="14"/>
        <v>64</v>
      </c>
      <c r="G21" s="235" t="str">
        <f t="shared" si="15"/>
        <v>011340</v>
      </c>
      <c r="H21" s="238" t="str">
        <f t="shared" si="4"/>
        <v>01 13 40</v>
      </c>
      <c r="I21" s="233"/>
      <c r="J21" s="233"/>
      <c r="K21" s="245">
        <v>17</v>
      </c>
      <c r="L21" s="232" t="str">
        <f t="shared" si="10"/>
        <v>01 13 40</v>
      </c>
      <c r="M21" s="240" t="str">
        <f t="shared" si="11"/>
        <v>         dt    0x01, 0x13, 0x40     ;3000Hz</v>
      </c>
      <c r="N21" t="str">
        <f t="shared" si="7"/>
        <v>       DT    "3000"</v>
      </c>
      <c r="O21">
        <f t="shared" si="8"/>
        <v>4</v>
      </c>
      <c r="P21" t="str">
        <f t="shared" si="9"/>
        <v>3000</v>
      </c>
      <c r="R21">
        <v>10</v>
      </c>
      <c r="S21">
        <f t="shared" si="12"/>
        <v>30</v>
      </c>
    </row>
    <row r="22" spans="1:19" ht="12.75">
      <c r="A22">
        <v>18</v>
      </c>
      <c r="B22" s="226">
        <v>4000</v>
      </c>
      <c r="C22" s="221">
        <f t="shared" si="6"/>
        <v>93952.4096</v>
      </c>
      <c r="D22" s="222">
        <f t="shared" si="0"/>
        <v>1</v>
      </c>
      <c r="E22" s="222">
        <f t="shared" si="13"/>
        <v>111</v>
      </c>
      <c r="F22" s="222">
        <f t="shared" si="14"/>
        <v>0</v>
      </c>
      <c r="G22" s="235" t="str">
        <f t="shared" si="15"/>
        <v>016F00</v>
      </c>
      <c r="H22" s="238" t="str">
        <f t="shared" si="4"/>
        <v>01 6F 00</v>
      </c>
      <c r="I22" s="233"/>
      <c r="J22" s="233"/>
      <c r="K22" s="245">
        <v>18</v>
      </c>
      <c r="L22" s="232" t="str">
        <f t="shared" si="10"/>
        <v>01 6F 00</v>
      </c>
      <c r="M22" s="240" t="str">
        <f t="shared" si="11"/>
        <v>         dt    0x01, 0x6F, 0x00     ;4000Hz</v>
      </c>
      <c r="N22" t="str">
        <f t="shared" si="7"/>
        <v>       DT    "4000"</v>
      </c>
      <c r="O22">
        <f t="shared" si="8"/>
        <v>4</v>
      </c>
      <c r="P22" t="str">
        <f t="shared" si="9"/>
        <v>4000</v>
      </c>
      <c r="R22">
        <v>11</v>
      </c>
      <c r="S22">
        <f t="shared" si="12"/>
        <v>33</v>
      </c>
    </row>
    <row r="23" spans="1:19" ht="12.75">
      <c r="A23">
        <v>19</v>
      </c>
      <c r="B23" s="226">
        <v>5000</v>
      </c>
      <c r="C23" s="221">
        <f t="shared" si="6"/>
        <v>117440.51199999999</v>
      </c>
      <c r="D23" s="222">
        <f t="shared" si="0"/>
        <v>1</v>
      </c>
      <c r="E23" s="222">
        <f t="shared" si="13"/>
        <v>202</v>
      </c>
      <c r="F23" s="222">
        <f t="shared" si="14"/>
        <v>192</v>
      </c>
      <c r="G23" s="235" t="str">
        <f t="shared" si="15"/>
        <v>01CAC0</v>
      </c>
      <c r="H23" s="238" t="str">
        <f t="shared" si="4"/>
        <v>01 CA C0</v>
      </c>
      <c r="I23" s="233"/>
      <c r="J23" s="233"/>
      <c r="K23" s="245">
        <v>19</v>
      </c>
      <c r="L23" s="232" t="str">
        <f t="shared" si="10"/>
        <v>01 CA C0</v>
      </c>
      <c r="M23" s="240" t="str">
        <f t="shared" si="11"/>
        <v>         dt    0x01, 0xCA, 0xC0     ;5000Hz</v>
      </c>
      <c r="N23" t="str">
        <f t="shared" si="7"/>
        <v>       DT    "5000"</v>
      </c>
      <c r="O23">
        <f t="shared" si="8"/>
        <v>4</v>
      </c>
      <c r="P23" t="str">
        <f t="shared" si="9"/>
        <v>5000</v>
      </c>
      <c r="R23">
        <v>12</v>
      </c>
      <c r="S23">
        <f t="shared" si="12"/>
        <v>36</v>
      </c>
    </row>
    <row r="24" spans="1:19" ht="12.75">
      <c r="A24">
        <v>20</v>
      </c>
      <c r="B24" s="226">
        <v>6000</v>
      </c>
      <c r="C24" s="221">
        <f t="shared" si="6"/>
        <v>140928.6144</v>
      </c>
      <c r="D24" s="222">
        <f t="shared" si="0"/>
        <v>2</v>
      </c>
      <c r="E24" s="222">
        <f t="shared" si="13"/>
        <v>38</v>
      </c>
      <c r="F24" s="222">
        <f t="shared" si="14"/>
        <v>128</v>
      </c>
      <c r="G24" s="235" t="str">
        <f t="shared" si="15"/>
        <v>022680</v>
      </c>
      <c r="H24" s="238" t="str">
        <f t="shared" si="4"/>
        <v>02 26 80</v>
      </c>
      <c r="K24" s="245">
        <v>20</v>
      </c>
      <c r="L24" s="232" t="str">
        <f t="shared" si="10"/>
        <v>02 26 80</v>
      </c>
      <c r="M24" s="240" t="str">
        <f t="shared" si="11"/>
        <v>         dt    0x02, 0x26, 0x80     ;6000Hz</v>
      </c>
      <c r="N24" t="str">
        <f t="shared" si="7"/>
        <v>       DT    "6000"</v>
      </c>
      <c r="O24">
        <f t="shared" si="8"/>
        <v>4</v>
      </c>
      <c r="P24" t="str">
        <f t="shared" si="9"/>
        <v>6000</v>
      </c>
      <c r="R24">
        <v>13</v>
      </c>
      <c r="S24">
        <f t="shared" si="12"/>
        <v>39</v>
      </c>
    </row>
    <row r="25" spans="1:19" ht="12.75">
      <c r="A25">
        <v>21</v>
      </c>
      <c r="B25" s="226">
        <v>7000</v>
      </c>
      <c r="C25" s="221">
        <f t="shared" si="6"/>
        <v>164416.7168</v>
      </c>
      <c r="D25" s="222">
        <f t="shared" si="0"/>
        <v>2</v>
      </c>
      <c r="E25" s="222">
        <f t="shared" si="13"/>
        <v>130</v>
      </c>
      <c r="F25" s="222">
        <f t="shared" si="14"/>
        <v>64</v>
      </c>
      <c r="G25" s="235" t="str">
        <f t="shared" si="15"/>
        <v>028240</v>
      </c>
      <c r="H25" s="238" t="str">
        <f t="shared" si="4"/>
        <v>02 82 40</v>
      </c>
      <c r="K25" s="245">
        <v>21</v>
      </c>
      <c r="L25" s="232" t="str">
        <f t="shared" si="10"/>
        <v>02 82 40</v>
      </c>
      <c r="M25" s="240" t="str">
        <f t="shared" si="11"/>
        <v>         dt    0x02, 0x82, 0x40     ;7000Hz</v>
      </c>
      <c r="N25" t="str">
        <f t="shared" si="7"/>
        <v>       DT    "7000"</v>
      </c>
      <c r="O25">
        <f t="shared" si="8"/>
        <v>4</v>
      </c>
      <c r="P25" t="str">
        <f t="shared" si="9"/>
        <v>7000</v>
      </c>
      <c r="R25">
        <v>14</v>
      </c>
      <c r="S25">
        <f t="shared" si="12"/>
        <v>42</v>
      </c>
    </row>
    <row r="26" spans="1:19" ht="12.75">
      <c r="A26">
        <v>22</v>
      </c>
      <c r="B26" s="226">
        <v>8000</v>
      </c>
      <c r="C26" s="221">
        <f t="shared" si="6"/>
        <v>187904.8192</v>
      </c>
      <c r="D26" s="222">
        <f t="shared" si="0"/>
        <v>2</v>
      </c>
      <c r="E26" s="222">
        <f t="shared" si="13"/>
        <v>222</v>
      </c>
      <c r="F26" s="222">
        <f t="shared" si="14"/>
        <v>0</v>
      </c>
      <c r="G26" s="235" t="str">
        <f t="shared" si="15"/>
        <v>02DE00</v>
      </c>
      <c r="H26" s="238" t="str">
        <f t="shared" si="4"/>
        <v>02 DE 00</v>
      </c>
      <c r="K26" s="245">
        <v>22</v>
      </c>
      <c r="L26" s="232" t="str">
        <f t="shared" si="10"/>
        <v>02 DE 00</v>
      </c>
      <c r="M26" s="240" t="str">
        <f t="shared" si="11"/>
        <v>         dt    0x02, 0xDE, 0x00     ;8000Hz</v>
      </c>
      <c r="N26" t="str">
        <f t="shared" si="7"/>
        <v>       DT    "8000"</v>
      </c>
      <c r="O26">
        <f t="shared" si="8"/>
        <v>4</v>
      </c>
      <c r="P26" t="str">
        <f t="shared" si="9"/>
        <v>8000</v>
      </c>
      <c r="R26">
        <v>15</v>
      </c>
      <c r="S26">
        <f t="shared" si="12"/>
        <v>45</v>
      </c>
    </row>
    <row r="27" spans="1:19" ht="12.75">
      <c r="A27">
        <v>23</v>
      </c>
      <c r="B27" s="226">
        <v>9000</v>
      </c>
      <c r="C27" s="221">
        <f t="shared" si="6"/>
        <v>211392.92159999997</v>
      </c>
      <c r="D27" s="222">
        <f t="shared" si="0"/>
        <v>3</v>
      </c>
      <c r="E27" s="222">
        <f t="shared" si="13"/>
        <v>57</v>
      </c>
      <c r="F27" s="222">
        <f t="shared" si="14"/>
        <v>192</v>
      </c>
      <c r="G27" s="235" t="str">
        <f t="shared" si="15"/>
        <v>0339C0</v>
      </c>
      <c r="H27" s="238" t="str">
        <f t="shared" si="4"/>
        <v>03 39 C0</v>
      </c>
      <c r="K27" s="245">
        <v>23</v>
      </c>
      <c r="L27" s="232" t="str">
        <f t="shared" si="10"/>
        <v>03 39 C0</v>
      </c>
      <c r="M27" s="240" t="str">
        <f t="shared" si="11"/>
        <v>         dt    0x03, 0x39, 0xC0     ;9000Hz</v>
      </c>
      <c r="N27" t="str">
        <f t="shared" si="7"/>
        <v>       DT    "9000"</v>
      </c>
      <c r="O27">
        <f t="shared" si="8"/>
        <v>4</v>
      </c>
      <c r="P27" t="str">
        <f t="shared" si="9"/>
        <v>9000</v>
      </c>
      <c r="R27">
        <v>16</v>
      </c>
      <c r="S27">
        <f t="shared" si="12"/>
        <v>48</v>
      </c>
    </row>
    <row r="28" spans="1:19" ht="12.75">
      <c r="A28">
        <v>24</v>
      </c>
      <c r="B28" s="226">
        <v>10000</v>
      </c>
      <c r="C28" s="221">
        <f t="shared" si="6"/>
        <v>234881.02399999998</v>
      </c>
      <c r="D28" s="222">
        <f t="shared" si="0"/>
        <v>3</v>
      </c>
      <c r="E28" s="222">
        <f t="shared" si="13"/>
        <v>149</v>
      </c>
      <c r="F28" s="222">
        <f t="shared" si="14"/>
        <v>129</v>
      </c>
      <c r="G28" s="235" t="str">
        <f t="shared" si="15"/>
        <v>039581</v>
      </c>
      <c r="H28" s="238" t="str">
        <f t="shared" si="4"/>
        <v>03 95 81</v>
      </c>
      <c r="K28" s="245">
        <v>24</v>
      </c>
      <c r="L28" s="232" t="str">
        <f t="shared" si="10"/>
        <v>03 95 81</v>
      </c>
      <c r="M28" s="240" t="str">
        <f t="shared" si="11"/>
        <v>         dt    0x03, 0x95, 0x81     ;10000Hz</v>
      </c>
      <c r="N28" s="426" t="str">
        <f aca="true" t="shared" si="16" ref="N28:N39">"       DT    """&amp;REPT(" ",5-LEN(FIXED(B28,0,1)))&amp;LEFT(FIXED(B28,0,1),2)&amp;".K"""</f>
        <v>       DT    "10.K"</v>
      </c>
      <c r="O28">
        <f t="shared" si="8"/>
        <v>5</v>
      </c>
      <c r="P28" t="str">
        <f t="shared" si="9"/>
        <v>10000</v>
      </c>
      <c r="R28">
        <v>17</v>
      </c>
      <c r="S28">
        <f t="shared" si="12"/>
        <v>51</v>
      </c>
    </row>
    <row r="29" spans="1:19" ht="12.75">
      <c r="A29">
        <v>25</v>
      </c>
      <c r="B29" s="226">
        <v>11000</v>
      </c>
      <c r="C29" s="221">
        <f t="shared" si="6"/>
        <v>258369.12639999998</v>
      </c>
      <c r="D29" s="222">
        <f t="shared" si="0"/>
        <v>3</v>
      </c>
      <c r="E29" s="222">
        <f t="shared" si="13"/>
        <v>241</v>
      </c>
      <c r="F29" s="222">
        <f t="shared" si="14"/>
        <v>65</v>
      </c>
      <c r="G29" s="235" t="str">
        <f t="shared" si="15"/>
        <v>03F141</v>
      </c>
      <c r="H29" s="238" t="str">
        <f t="shared" si="4"/>
        <v>03 F1 41</v>
      </c>
      <c r="K29" s="245">
        <v>25</v>
      </c>
      <c r="L29" s="232" t="str">
        <f t="shared" si="10"/>
        <v>03 F1 41</v>
      </c>
      <c r="M29" s="240" t="str">
        <f t="shared" si="11"/>
        <v>         dt    0x03, 0xF1, 0x41     ;11000Hz</v>
      </c>
      <c r="N29" s="426" t="str">
        <f t="shared" si="16"/>
        <v>       DT    "11.K"</v>
      </c>
      <c r="O29">
        <f t="shared" si="8"/>
        <v>5</v>
      </c>
      <c r="P29" t="str">
        <f t="shared" si="9"/>
        <v>11000</v>
      </c>
      <c r="R29">
        <v>18</v>
      </c>
      <c r="S29">
        <f t="shared" si="12"/>
        <v>54</v>
      </c>
    </row>
    <row r="30" spans="1:19" ht="12.75">
      <c r="A30">
        <v>26</v>
      </c>
      <c r="B30" s="226">
        <v>12000</v>
      </c>
      <c r="C30" s="221">
        <f t="shared" si="6"/>
        <v>281857.2288</v>
      </c>
      <c r="D30" s="222">
        <f t="shared" si="0"/>
        <v>4</v>
      </c>
      <c r="E30" s="222">
        <f t="shared" si="13"/>
        <v>77</v>
      </c>
      <c r="F30" s="222">
        <f t="shared" si="14"/>
        <v>1</v>
      </c>
      <c r="G30" s="235" t="str">
        <f t="shared" si="15"/>
        <v>044D01</v>
      </c>
      <c r="H30" s="238" t="str">
        <f t="shared" si="4"/>
        <v>04 4D 01</v>
      </c>
      <c r="I30" s="90"/>
      <c r="K30" s="245">
        <v>26</v>
      </c>
      <c r="L30" s="232" t="str">
        <f t="shared" si="10"/>
        <v>04 4D 01</v>
      </c>
      <c r="M30" s="240" t="str">
        <f t="shared" si="11"/>
        <v>         dt    0x04, 0x4D, 0x01     ;12000Hz</v>
      </c>
      <c r="N30" s="426" t="str">
        <f t="shared" si="16"/>
        <v>       DT    "12.K"</v>
      </c>
      <c r="O30">
        <f t="shared" si="8"/>
        <v>5</v>
      </c>
      <c r="P30" t="str">
        <f t="shared" si="9"/>
        <v>12000</v>
      </c>
      <c r="R30">
        <v>19</v>
      </c>
      <c r="S30">
        <f t="shared" si="12"/>
        <v>57</v>
      </c>
    </row>
    <row r="31" spans="1:19" ht="12.75">
      <c r="A31">
        <v>27</v>
      </c>
      <c r="B31" s="226">
        <v>13000</v>
      </c>
      <c r="C31" s="221">
        <f t="shared" si="6"/>
        <v>305345.33119999996</v>
      </c>
      <c r="D31" s="222">
        <f t="shared" si="0"/>
        <v>4</v>
      </c>
      <c r="E31" s="222">
        <f t="shared" si="13"/>
        <v>168</v>
      </c>
      <c r="F31" s="222">
        <f t="shared" si="14"/>
        <v>193</v>
      </c>
      <c r="G31" s="235" t="str">
        <f t="shared" si="15"/>
        <v>04A8C1</v>
      </c>
      <c r="H31" s="238" t="str">
        <f t="shared" si="4"/>
        <v>04 A8 C1</v>
      </c>
      <c r="K31" s="245">
        <v>27</v>
      </c>
      <c r="L31" s="232" t="str">
        <f t="shared" si="10"/>
        <v>04 A8 C1</v>
      </c>
      <c r="M31" s="240" t="str">
        <f t="shared" si="11"/>
        <v>         dt    0x04, 0xA8, 0xC1     ;13000Hz</v>
      </c>
      <c r="N31" s="426" t="str">
        <f t="shared" si="16"/>
        <v>       DT    "13.K"</v>
      </c>
      <c r="O31">
        <f t="shared" si="8"/>
        <v>5</v>
      </c>
      <c r="P31" t="str">
        <f t="shared" si="9"/>
        <v>13000</v>
      </c>
      <c r="R31">
        <v>20</v>
      </c>
      <c r="S31">
        <f t="shared" si="12"/>
        <v>60</v>
      </c>
    </row>
    <row r="32" spans="1:19" ht="12.75">
      <c r="A32">
        <v>28</v>
      </c>
      <c r="B32" s="226">
        <v>14000</v>
      </c>
      <c r="C32" s="221">
        <f t="shared" si="6"/>
        <v>328833.4336</v>
      </c>
      <c r="D32" s="222">
        <f t="shared" si="0"/>
        <v>5</v>
      </c>
      <c r="E32" s="222">
        <f t="shared" si="13"/>
        <v>4</v>
      </c>
      <c r="F32" s="222">
        <f t="shared" si="14"/>
        <v>129</v>
      </c>
      <c r="G32" s="235" t="str">
        <f t="shared" si="15"/>
        <v>050481</v>
      </c>
      <c r="H32" s="238" t="str">
        <f t="shared" si="4"/>
        <v>05 04 81</v>
      </c>
      <c r="K32" s="245">
        <v>28</v>
      </c>
      <c r="L32" s="232" t="str">
        <f t="shared" si="10"/>
        <v>05 04 81</v>
      </c>
      <c r="M32" s="240" t="str">
        <f t="shared" si="11"/>
        <v>         dt    0x05, 0x04, 0x81     ;14000Hz</v>
      </c>
      <c r="N32" s="426" t="str">
        <f t="shared" si="16"/>
        <v>       DT    "14.K"</v>
      </c>
      <c r="O32">
        <f t="shared" si="8"/>
        <v>5</v>
      </c>
      <c r="P32" t="str">
        <f t="shared" si="9"/>
        <v>14000</v>
      </c>
      <c r="R32">
        <v>21</v>
      </c>
      <c r="S32">
        <f t="shared" si="12"/>
        <v>63</v>
      </c>
    </row>
    <row r="33" spans="1:19" ht="12.75">
      <c r="A33">
        <v>29</v>
      </c>
      <c r="B33" s="226">
        <v>15000</v>
      </c>
      <c r="C33" s="221">
        <f t="shared" si="6"/>
        <v>352321.53599999996</v>
      </c>
      <c r="D33" s="222">
        <f t="shared" si="0"/>
        <v>5</v>
      </c>
      <c r="E33" s="222">
        <f t="shared" si="13"/>
        <v>96</v>
      </c>
      <c r="F33" s="222">
        <f t="shared" si="14"/>
        <v>65</v>
      </c>
      <c r="G33" s="235" t="str">
        <f t="shared" si="15"/>
        <v>056041</v>
      </c>
      <c r="H33" s="238" t="str">
        <f t="shared" si="4"/>
        <v>05 60 41</v>
      </c>
      <c r="K33" s="245">
        <v>29</v>
      </c>
      <c r="L33" s="232" t="str">
        <f t="shared" si="10"/>
        <v>05 60 41</v>
      </c>
      <c r="M33" s="240" t="str">
        <f t="shared" si="11"/>
        <v>         dt    0x05, 0x60, 0x41     ;15000Hz</v>
      </c>
      <c r="N33" s="426" t="str">
        <f t="shared" si="16"/>
        <v>       DT    "15.K"</v>
      </c>
      <c r="O33">
        <f t="shared" si="8"/>
        <v>5</v>
      </c>
      <c r="P33" t="str">
        <f t="shared" si="9"/>
        <v>15000</v>
      </c>
      <c r="R33">
        <v>22</v>
      </c>
      <c r="S33">
        <f t="shared" si="12"/>
        <v>66</v>
      </c>
    </row>
    <row r="34" spans="1:19" ht="12.75">
      <c r="A34">
        <v>30</v>
      </c>
      <c r="B34" s="226">
        <v>16000</v>
      </c>
      <c r="C34" s="221">
        <f t="shared" si="6"/>
        <v>375809.6384</v>
      </c>
      <c r="D34" s="222">
        <f t="shared" si="0"/>
        <v>5</v>
      </c>
      <c r="E34" s="222">
        <f t="shared" si="13"/>
        <v>188</v>
      </c>
      <c r="F34" s="222">
        <f t="shared" si="14"/>
        <v>1</v>
      </c>
      <c r="G34" s="235" t="str">
        <f t="shared" si="15"/>
        <v>05BC01</v>
      </c>
      <c r="H34" s="238" t="str">
        <f t="shared" si="4"/>
        <v>05 BC 01</v>
      </c>
      <c r="K34" s="245">
        <v>30</v>
      </c>
      <c r="L34" s="232" t="str">
        <f t="shared" si="10"/>
        <v>05 BC 01</v>
      </c>
      <c r="M34" s="240" t="str">
        <f t="shared" si="11"/>
        <v>         dt    0x05, 0xBC, 0x01     ;16000Hz</v>
      </c>
      <c r="N34" s="426" t="str">
        <f t="shared" si="16"/>
        <v>       DT    "16.K"</v>
      </c>
      <c r="O34">
        <f t="shared" si="8"/>
        <v>5</v>
      </c>
      <c r="P34" t="str">
        <f t="shared" si="9"/>
        <v>16000</v>
      </c>
      <c r="R34">
        <v>23</v>
      </c>
      <c r="S34">
        <f t="shared" si="12"/>
        <v>69</v>
      </c>
    </row>
    <row r="35" spans="1:19" ht="12.75">
      <c r="A35">
        <v>31</v>
      </c>
      <c r="B35" s="226">
        <v>17000</v>
      </c>
      <c r="C35" s="221">
        <f t="shared" si="6"/>
        <v>399297.74079999997</v>
      </c>
      <c r="D35" s="222">
        <f t="shared" si="0"/>
        <v>6</v>
      </c>
      <c r="E35" s="222">
        <f t="shared" si="13"/>
        <v>23</v>
      </c>
      <c r="F35" s="222">
        <f t="shared" si="14"/>
        <v>193</v>
      </c>
      <c r="G35" s="235" t="str">
        <f t="shared" si="15"/>
        <v>0617C1</v>
      </c>
      <c r="H35" s="238" t="str">
        <f t="shared" si="4"/>
        <v>06 17 C1</v>
      </c>
      <c r="K35" s="245">
        <v>31</v>
      </c>
      <c r="L35" s="232" t="str">
        <f t="shared" si="10"/>
        <v>06 17 C1</v>
      </c>
      <c r="M35" s="240" t="str">
        <f t="shared" si="11"/>
        <v>         dt    0x06, 0x17, 0xC1     ;17000Hz</v>
      </c>
      <c r="N35" s="426" t="str">
        <f t="shared" si="16"/>
        <v>       DT    "17.K"</v>
      </c>
      <c r="O35">
        <f t="shared" si="8"/>
        <v>5</v>
      </c>
      <c r="P35" t="str">
        <f t="shared" si="9"/>
        <v>17000</v>
      </c>
      <c r="R35">
        <v>24</v>
      </c>
      <c r="S35">
        <f t="shared" si="12"/>
        <v>72</v>
      </c>
    </row>
    <row r="36" spans="1:19" ht="12.75">
      <c r="A36">
        <v>32</v>
      </c>
      <c r="B36" s="226">
        <v>18000</v>
      </c>
      <c r="C36" s="221">
        <f t="shared" si="6"/>
        <v>422785.84319999994</v>
      </c>
      <c r="D36" s="222">
        <f t="shared" si="0"/>
        <v>6</v>
      </c>
      <c r="E36" s="222">
        <f aca="true" t="shared" si="17" ref="E36:E41">INT((C36-(D36*65536))/256)</f>
        <v>115</v>
      </c>
      <c r="F36" s="222">
        <f aca="true" t="shared" si="18" ref="F36:F41">INT(C36-(D36*65536)-(E36*256))</f>
        <v>129</v>
      </c>
      <c r="G36" s="235" t="str">
        <f aca="true" t="shared" si="19" ref="G36:G41">INDEX(zone1,INT(D36/16)+1,2)&amp;INDEX(zone1,D36-INT(D36/16)*16+1,2)&amp;INDEX(zone1,INT(E36/16)+1,2)&amp;INDEX(zone1,E36-INT(E36/16)*16+1,2)&amp;INDEX(zone1,INT(F36/16)+1,2)&amp;INDEX(zone1,F36-INT(F36/16)*16+1,2)</f>
        <v>067381</v>
      </c>
      <c r="H36" s="238" t="str">
        <f t="shared" si="4"/>
        <v>06 73 81</v>
      </c>
      <c r="K36" s="245">
        <v>32</v>
      </c>
      <c r="L36" s="232" t="str">
        <f aca="true" t="shared" si="20" ref="L36:L43">H36</f>
        <v>06 73 81</v>
      </c>
      <c r="M36" s="240" t="str">
        <f aca="true" t="shared" si="21" ref="M36:M43">"         dt    0x"&amp;LEFT(L36,2)&amp;", 0x"&amp;MID(H36,4,2)&amp;", 0x"&amp;RIGHT(L36,2)&amp;"     ;"&amp;FIXED(B36,0,1)&amp;"Hz"</f>
        <v>         dt    0x06, 0x73, 0x81     ;18000Hz</v>
      </c>
      <c r="N36" s="426" t="str">
        <f t="shared" si="16"/>
        <v>       DT    "18.K"</v>
      </c>
      <c r="O36">
        <f t="shared" si="8"/>
        <v>5</v>
      </c>
      <c r="P36" t="str">
        <f t="shared" si="9"/>
        <v>18000</v>
      </c>
      <c r="R36">
        <v>25</v>
      </c>
      <c r="S36">
        <f t="shared" si="12"/>
        <v>75</v>
      </c>
    </row>
    <row r="37" spans="1:19" ht="12.75">
      <c r="A37">
        <v>33</v>
      </c>
      <c r="B37" s="226">
        <v>19000</v>
      </c>
      <c r="C37" s="221">
        <f t="shared" si="6"/>
        <v>446273.9456</v>
      </c>
      <c r="D37" s="222">
        <f t="shared" si="0"/>
        <v>6</v>
      </c>
      <c r="E37" s="222">
        <f t="shared" si="17"/>
        <v>207</v>
      </c>
      <c r="F37" s="222">
        <f t="shared" si="18"/>
        <v>65</v>
      </c>
      <c r="G37" s="235" t="str">
        <f t="shared" si="19"/>
        <v>06CF41</v>
      </c>
      <c r="H37" s="238" t="str">
        <f t="shared" si="4"/>
        <v>06 CF 41</v>
      </c>
      <c r="K37" s="245">
        <v>33</v>
      </c>
      <c r="L37" s="232" t="str">
        <f t="shared" si="20"/>
        <v>06 CF 41</v>
      </c>
      <c r="M37" s="240" t="str">
        <f t="shared" si="21"/>
        <v>         dt    0x06, 0xCF, 0x41     ;19000Hz</v>
      </c>
      <c r="N37" s="426" t="str">
        <f t="shared" si="16"/>
        <v>       DT    "19.K"</v>
      </c>
      <c r="O37">
        <f t="shared" si="8"/>
        <v>5</v>
      </c>
      <c r="P37" t="str">
        <f t="shared" si="9"/>
        <v>19000</v>
      </c>
      <c r="R37">
        <v>26</v>
      </c>
      <c r="S37">
        <f t="shared" si="12"/>
        <v>78</v>
      </c>
    </row>
    <row r="38" spans="1:19" ht="12.75">
      <c r="A38">
        <v>34</v>
      </c>
      <c r="B38" s="226">
        <v>20000</v>
      </c>
      <c r="C38" s="221">
        <f t="shared" si="6"/>
        <v>469762.04799999995</v>
      </c>
      <c r="D38" s="222">
        <f t="shared" si="0"/>
        <v>7</v>
      </c>
      <c r="E38" s="222">
        <f t="shared" si="17"/>
        <v>43</v>
      </c>
      <c r="F38" s="222">
        <f t="shared" si="18"/>
        <v>2</v>
      </c>
      <c r="G38" s="235" t="str">
        <f t="shared" si="19"/>
        <v>072B02</v>
      </c>
      <c r="H38" s="238" t="str">
        <f t="shared" si="4"/>
        <v>07 2B 02</v>
      </c>
      <c r="K38" s="245">
        <v>34</v>
      </c>
      <c r="L38" s="232" t="str">
        <f t="shared" si="20"/>
        <v>07 2B 02</v>
      </c>
      <c r="M38" s="240" t="str">
        <f t="shared" si="21"/>
        <v>         dt    0x07, 0x2B, 0x02     ;20000Hz</v>
      </c>
      <c r="N38" s="426" t="str">
        <f t="shared" si="16"/>
        <v>       DT    "20.K"</v>
      </c>
      <c r="O38">
        <f t="shared" si="8"/>
        <v>5</v>
      </c>
      <c r="P38" t="str">
        <f t="shared" si="9"/>
        <v>20000</v>
      </c>
      <c r="R38">
        <v>27</v>
      </c>
      <c r="S38">
        <f t="shared" si="12"/>
        <v>81</v>
      </c>
    </row>
    <row r="39" spans="1:19" ht="12.75">
      <c r="A39">
        <v>35</v>
      </c>
      <c r="B39" s="226">
        <v>76000</v>
      </c>
      <c r="C39" s="221">
        <f t="shared" si="6"/>
        <v>1785095.7824</v>
      </c>
      <c r="D39" s="222">
        <f t="shared" si="0"/>
        <v>27</v>
      </c>
      <c r="E39" s="222">
        <f t="shared" si="17"/>
        <v>61</v>
      </c>
      <c r="F39" s="222">
        <f t="shared" si="18"/>
        <v>7</v>
      </c>
      <c r="G39" s="235" t="str">
        <f t="shared" si="19"/>
        <v>1B3D07</v>
      </c>
      <c r="H39" s="238" t="str">
        <f t="shared" si="4"/>
        <v>1B 3D 07</v>
      </c>
      <c r="K39" s="245">
        <v>35</v>
      </c>
      <c r="L39" s="232" t="str">
        <f t="shared" si="20"/>
        <v>1B 3D 07</v>
      </c>
      <c r="M39" s="240" t="str">
        <f t="shared" si="21"/>
        <v>         dt    0x1B, 0x3D, 0x07     ;76000Hz</v>
      </c>
      <c r="N39" s="426" t="str">
        <f t="shared" si="16"/>
        <v>       DT    "76.K"</v>
      </c>
      <c r="O39">
        <f t="shared" si="8"/>
        <v>5</v>
      </c>
      <c r="P39" t="str">
        <f t="shared" si="9"/>
        <v>76000</v>
      </c>
      <c r="R39">
        <v>28</v>
      </c>
      <c r="S39">
        <f t="shared" si="12"/>
        <v>84</v>
      </c>
    </row>
    <row r="40" spans="1:19" ht="12.75">
      <c r="A40" s="255">
        <v>36</v>
      </c>
      <c r="B40" s="342"/>
      <c r="C40" s="343">
        <f>B40*(4/$C$2)*16777216/($G$50/$E$51)</f>
        <v>0</v>
      </c>
      <c r="D40" s="344">
        <f t="shared" si="0"/>
        <v>0</v>
      </c>
      <c r="E40" s="344">
        <f t="shared" si="17"/>
        <v>0</v>
      </c>
      <c r="F40" s="344">
        <f t="shared" si="18"/>
        <v>0</v>
      </c>
      <c r="G40" s="345" t="str">
        <f t="shared" si="19"/>
        <v>000000</v>
      </c>
      <c r="H40" s="346" t="str">
        <f t="shared" si="4"/>
        <v>00 00 00</v>
      </c>
      <c r="K40" s="245">
        <v>36</v>
      </c>
      <c r="L40" s="256" t="str">
        <f t="shared" si="20"/>
        <v>00 00 00</v>
      </c>
      <c r="M40" s="240" t="str">
        <f t="shared" si="21"/>
        <v>         dt    0x00, 0x00, 0x00     ;0Hz</v>
      </c>
      <c r="N40" s="255" t="str">
        <f>"       DT    """&amp;REPT(" ",4-LEN(FIXED(B40,0,1)))&amp;FIXED(B40,0,1)&amp;""""</f>
        <v>       DT    "   0"</v>
      </c>
      <c r="P40" t="e">
        <f>INT(LOG(B40))+1</f>
        <v>#NUM!</v>
      </c>
      <c r="R40">
        <v>29</v>
      </c>
      <c r="S40">
        <f t="shared" si="12"/>
        <v>87</v>
      </c>
    </row>
    <row r="41" spans="1:14" ht="12.75">
      <c r="A41" s="248">
        <v>37</v>
      </c>
      <c r="B41" s="251">
        <v>100000</v>
      </c>
      <c r="C41" s="221">
        <f t="shared" si="6"/>
        <v>2348810.2399999998</v>
      </c>
      <c r="D41" s="252">
        <f t="shared" si="0"/>
        <v>35</v>
      </c>
      <c r="E41" s="252">
        <f t="shared" si="17"/>
        <v>215</v>
      </c>
      <c r="F41" s="252">
        <f t="shared" si="18"/>
        <v>10</v>
      </c>
      <c r="G41" s="253" t="str">
        <f t="shared" si="19"/>
        <v>23D70A</v>
      </c>
      <c r="H41" s="254" t="str">
        <f t="shared" si="4"/>
        <v>23 D7 0A</v>
      </c>
      <c r="K41" s="245"/>
      <c r="L41" s="246" t="str">
        <f t="shared" si="20"/>
        <v>23 D7 0A</v>
      </c>
      <c r="M41" s="247" t="str">
        <f t="shared" si="21"/>
        <v>         dt    0x23, 0xD7, 0x0A     ;100000Hz</v>
      </c>
      <c r="N41" s="248" t="e">
        <f>"       DT    """&amp;REPT(" ",4-LEN(FIXED(B41,0,1)))&amp;FIXED(B41,0,1)&amp;""""</f>
        <v>#VALUE!</v>
      </c>
    </row>
    <row r="42" spans="4:13" ht="13.5" thickBot="1">
      <c r="D42"/>
      <c r="E42"/>
      <c r="F42"/>
      <c r="M42"/>
    </row>
    <row r="43" spans="1:14" ht="13.5" thickBot="1">
      <c r="A43" s="248">
        <v>39</v>
      </c>
      <c r="B43" s="270">
        <v>35714</v>
      </c>
      <c r="C43" s="271">
        <f>B43*16777216/($G$50/$E$51)</f>
        <v>1677708.1782272</v>
      </c>
      <c r="D43" s="272">
        <f>INT(C43/65536)</f>
        <v>25</v>
      </c>
      <c r="E43" s="272">
        <f>INT((C43-(D43*65536))/256)</f>
        <v>153</v>
      </c>
      <c r="F43" s="272">
        <f>INT(C43-(D43*65536)-(E43*256))</f>
        <v>140</v>
      </c>
      <c r="G43" s="273" t="str">
        <f>INDEX(zone1,INT(D43/16)+1,2)&amp;INDEX(zone1,D43-INT(D43/16)*16+1,2)&amp;INDEX(zone1,INT(E43/16)+1,2)&amp;INDEX(zone1,E43-INT(E43/16)*16+1,2)&amp;INDEX(zone1,INT(F43/16)+1,2)&amp;INDEX(zone1,F43-INT(F43/16)*16+1,2)</f>
        <v>19998C</v>
      </c>
      <c r="H43" s="274" t="str">
        <f>LEFT(G43,2)&amp;" "&amp;MID(G43,3,2)&amp;" "&amp;RIGHT(G43,2)</f>
        <v>19 99 8C</v>
      </c>
      <c r="K43" s="245"/>
      <c r="L43" s="246" t="str">
        <f t="shared" si="20"/>
        <v>19 99 8C</v>
      </c>
      <c r="M43" s="247" t="str">
        <f t="shared" si="21"/>
        <v>         dt    0x19, 0x99, 0x8C     ;35714Hz</v>
      </c>
      <c r="N43" s="248" t="e">
        <f>"       DT    """&amp;REPT(" ",4-LEN(FIXED(B43,0,1)))&amp;FIXED(B43,0,1)&amp;""""</f>
        <v>#VALUE!</v>
      </c>
    </row>
    <row r="44" spans="2:9" ht="13.5" thickBot="1">
      <c r="B44" s="265" t="s">
        <v>467</v>
      </c>
      <c r="C44" s="266">
        <f>65536*256-1</f>
        <v>16777215</v>
      </c>
      <c r="D44" s="267">
        <f>INT(C44/65536)</f>
        <v>255</v>
      </c>
      <c r="E44" s="267">
        <f>INT((C44-(D44*65536))/256)</f>
        <v>255</v>
      </c>
      <c r="F44" s="267">
        <f>INT(C44-(D44*65536)-(E44*256))</f>
        <v>255</v>
      </c>
      <c r="G44" s="268" t="str">
        <f>INDEX(zone1,INT(D44/16)+1,2)&amp;INDEX(zone1,D44-INT(D44/16)*16+1,2)&amp;INDEX(zone1,INT(E44/16)+1,2)&amp;INDEX(zone1,E44-INT(E44/16)*16+1,2)&amp;INDEX(zone1,INT(F44/16)+1,2)&amp;INDEX(zone1,F44-INT(F44/16)*16+1,2)</f>
        <v>FFFFFF</v>
      </c>
      <c r="H44" s="269" t="str">
        <f>LEFT(G44,2)&amp;" "&amp;MID(G44,3,2)&amp;" "&amp;RIGHT(G44,2)</f>
        <v>FF FF FF</v>
      </c>
      <c r="I44" s="224" t="s">
        <v>692</v>
      </c>
    </row>
    <row r="45" spans="2:4" ht="12.75">
      <c r="B45" s="90"/>
      <c r="C45" s="90"/>
      <c r="D45" s="85"/>
    </row>
    <row r="46" ht="12.75">
      <c r="A46" s="224" t="s">
        <v>468</v>
      </c>
    </row>
    <row r="47" ht="13.5" thickBot="1"/>
    <row r="48" spans="2:6" ht="13.5" thickBot="1">
      <c r="B48" s="334" t="s">
        <v>766</v>
      </c>
      <c r="C48" s="347"/>
      <c r="D48" s="352">
        <v>2</v>
      </c>
      <c r="F48"/>
    </row>
    <row r="49" ht="13.5" thickBot="1">
      <c r="F49"/>
    </row>
    <row r="50" spans="3:13" ht="13.5" thickBot="1">
      <c r="C50" s="306" t="s">
        <v>881</v>
      </c>
      <c r="D50" s="106" t="s">
        <v>693</v>
      </c>
      <c r="E50" s="125" t="s">
        <v>695</v>
      </c>
      <c r="F50" s="339" t="s">
        <v>703</v>
      </c>
      <c r="G50" s="336">
        <f>quartz__Mhz*1000000/4</f>
        <v>10000000</v>
      </c>
      <c r="H50" s="125" t="s">
        <v>689</v>
      </c>
      <c r="I50" s="106" t="s">
        <v>690</v>
      </c>
      <c r="J50" s="423" t="s">
        <v>443</v>
      </c>
      <c r="M50"/>
    </row>
    <row r="51" spans="3:13" ht="13.5" thickBot="1">
      <c r="C51" s="302">
        <v>9396</v>
      </c>
      <c r="D51" s="302">
        <v>40</v>
      </c>
      <c r="E51" s="303">
        <v>28</v>
      </c>
      <c r="F51" s="340">
        <f>256/nb_sinusoides</f>
        <v>128</v>
      </c>
      <c r="G51" s="337">
        <f>bin24_bits</f>
        <v>16777215</v>
      </c>
      <c r="H51" s="125" t="s">
        <v>688</v>
      </c>
      <c r="I51" s="425">
        <f>(1000000*nb_cycles)/G50</f>
        <v>2.8</v>
      </c>
      <c r="J51" s="424">
        <f>((256/nb_pas_DAC)*(C51*G50)/E51)/(G51)</f>
        <v>400.0323397791929</v>
      </c>
      <c r="M51"/>
    </row>
    <row r="52" spans="3:13" ht="13.5" thickBot="1">
      <c r="C52" s="263" t="str">
        <f>LEFT(G52,2)&amp;" "&amp;MID(G52,3,2)&amp;" "&amp;RIGHT(G52,2)</f>
        <v>00 24 B4</v>
      </c>
      <c r="D52" s="264">
        <f>INT(nombre/65536)</f>
        <v>0</v>
      </c>
      <c r="E52" s="335">
        <f>INT((nombre-(D52*65536))/256)</f>
        <v>36</v>
      </c>
      <c r="F52" s="341">
        <f>INT(nombre-(D52*65536)-(E52*256))</f>
        <v>180</v>
      </c>
      <c r="G52" s="338" t="str">
        <f>INDEX(zone1,INT(D52/16)+1,2)&amp;INDEX(zone1,D52-INT(D52/16)*16+1,2)&amp;INDEX(zone1,INT(E52/16)+1,2)&amp;INDEX(zone1,E52-INT(E52/16)*16+1,2)&amp;INDEX(zone1,INT(F52/16)+1,2)&amp;INDEX(zone1,F52-INT(F52/16)*16+1,2)</f>
        <v>0024B4</v>
      </c>
      <c r="M52"/>
    </row>
    <row r="53" spans="4:7" ht="13.5" thickBot="1">
      <c r="D53" s="260"/>
      <c r="E53" s="260"/>
      <c r="F53" s="261"/>
      <c r="G53" s="262"/>
    </row>
    <row r="54" spans="3:12" ht="13.5" thickBot="1">
      <c r="C54" s="230" t="s">
        <v>443</v>
      </c>
      <c r="D54" s="352">
        <v>1</v>
      </c>
      <c r="E54" s="259">
        <f>nb_cycles</f>
        <v>28</v>
      </c>
      <c r="F54" s="351">
        <f>quartz__Mhz</f>
        <v>40</v>
      </c>
      <c r="G54" s="205" t="s">
        <v>75</v>
      </c>
      <c r="H54" s="106" t="s">
        <v>706</v>
      </c>
      <c r="J54" s="78"/>
      <c r="L54" s="298">
        <v>0.021287373</v>
      </c>
    </row>
    <row r="55" spans="3:10" ht="13.5" thickBot="1">
      <c r="C55" s="230" t="s">
        <v>694</v>
      </c>
      <c r="D55" s="243">
        <f>1000000/D54</f>
        <v>1000000</v>
      </c>
      <c r="E55" s="125" t="s">
        <v>695</v>
      </c>
      <c r="F55" s="259">
        <f>4/quartz__Mhz</f>
        <v>0.1</v>
      </c>
      <c r="G55" s="117" t="s">
        <v>393</v>
      </c>
      <c r="H55" s="288">
        <f>1/(Periode/(C60*I51))</f>
        <v>46.976202</v>
      </c>
      <c r="J55" s="78"/>
    </row>
    <row r="56" spans="3:10" ht="12.75">
      <c r="C56" s="78"/>
      <c r="D56" s="249"/>
      <c r="E56" s="249"/>
      <c r="F56" s="249"/>
      <c r="G56" s="78"/>
      <c r="H56" s="78"/>
      <c r="J56" s="78"/>
    </row>
    <row r="57" spans="3:10" ht="12.75">
      <c r="C57" s="78"/>
      <c r="D57" s="277"/>
      <c r="E57" s="278"/>
      <c r="F57" s="279"/>
      <c r="G57" s="78"/>
      <c r="H57" s="78"/>
      <c r="I57" s="258"/>
      <c r="J57" s="258"/>
    </row>
    <row r="58" ht="13.5" thickBot="1"/>
    <row r="59" spans="3:10" ht="13.5" thickBot="1">
      <c r="C59" s="301">
        <f>65535</f>
        <v>65535</v>
      </c>
      <c r="D59" s="275" t="s">
        <v>702</v>
      </c>
      <c r="E59" s="276"/>
      <c r="F59" s="117"/>
      <c r="I59" s="228"/>
      <c r="J59" s="228"/>
    </row>
    <row r="60" spans="3:10" ht="12.75">
      <c r="C60" s="244">
        <f>bin24_bits</f>
        <v>16777215</v>
      </c>
      <c r="D60" s="257" t="s">
        <v>701</v>
      </c>
      <c r="E60" s="249"/>
      <c r="F60" s="208"/>
      <c r="J60" s="228"/>
    </row>
    <row r="61" spans="3:10" ht="12.75">
      <c r="C61" s="244">
        <f>quartz__Mhz</f>
        <v>40</v>
      </c>
      <c r="D61" s="257" t="s">
        <v>693</v>
      </c>
      <c r="E61" s="249"/>
      <c r="F61" s="208"/>
      <c r="I61" s="228"/>
      <c r="J61" s="228"/>
    </row>
    <row r="62" spans="3:10" ht="12.75">
      <c r="C62" s="244">
        <f>Nboucles</f>
        <v>28</v>
      </c>
      <c r="D62" s="257" t="s">
        <v>696</v>
      </c>
      <c r="E62" s="249"/>
      <c r="F62" s="111"/>
      <c r="H62" s="78" t="s">
        <v>700</v>
      </c>
      <c r="I62" s="228"/>
      <c r="J62" s="228"/>
    </row>
    <row r="63" spans="3:10" ht="12.75">
      <c r="C63" s="244">
        <f>C62*4/C61</f>
        <v>2.8</v>
      </c>
      <c r="D63" s="257" t="s">
        <v>697</v>
      </c>
      <c r="E63" s="249"/>
      <c r="F63" s="208"/>
      <c r="I63" s="258"/>
      <c r="J63" s="258"/>
    </row>
    <row r="64" spans="3:10" ht="13.5" thickBot="1">
      <c r="C64" s="244">
        <f>C63*C60/C59/1000000</f>
        <v>0.0007168108949416343</v>
      </c>
      <c r="D64" s="257" t="s">
        <v>699</v>
      </c>
      <c r="E64" s="249"/>
      <c r="F64" s="208"/>
      <c r="I64" s="228"/>
      <c r="J64" s="228"/>
    </row>
    <row r="65" spans="3:10" ht="13.5" thickBot="1">
      <c r="C65" s="280">
        <f>(256/nb_pas_DAC)/C64</f>
        <v>2790.136162987378</v>
      </c>
      <c r="D65" s="275" t="s">
        <v>698</v>
      </c>
      <c r="E65" s="276"/>
      <c r="F65" s="117"/>
      <c r="I65" s="228"/>
      <c r="J65" s="258"/>
    </row>
    <row r="66" spans="9:10" ht="13.5" thickBot="1">
      <c r="I66" s="228"/>
      <c r="J66" s="228"/>
    </row>
    <row r="67" spans="3:10" ht="12.75">
      <c r="C67" s="283" t="s">
        <v>704</v>
      </c>
      <c r="D67" s="282"/>
      <c r="F67"/>
      <c r="G67" t="s">
        <v>882</v>
      </c>
      <c r="J67" s="228"/>
    </row>
    <row r="68" spans="3:10" ht="13.5" thickBot="1">
      <c r="C68" s="286">
        <f>1000000/(Tr_de_boucle*nb_pas_DAC)</f>
        <v>2790.1785714285716</v>
      </c>
      <c r="D68" s="287" t="s">
        <v>444</v>
      </c>
      <c r="F68" s="349" t="s">
        <v>768</v>
      </c>
      <c r="G68" s="350" t="s">
        <v>769</v>
      </c>
      <c r="H68" s="349" t="s">
        <v>770</v>
      </c>
      <c r="I68" s="350" t="s">
        <v>771</v>
      </c>
      <c r="J68" s="228"/>
    </row>
    <row r="69" spans="3:10" ht="12.75">
      <c r="C69" s="284" t="s">
        <v>705</v>
      </c>
      <c r="D69" s="205"/>
      <c r="F69" s="350">
        <v>1</v>
      </c>
      <c r="G69" s="348">
        <v>904.21</v>
      </c>
      <c r="H69" s="348">
        <f>256/F69</f>
        <v>256</v>
      </c>
      <c r="I69" s="348">
        <f>360/H69</f>
        <v>1.40625</v>
      </c>
      <c r="J69" s="228"/>
    </row>
    <row r="70" spans="3:10" ht="13.5" thickBot="1">
      <c r="C70" s="285">
        <f>1000000/(65535*I51*nb_pas_DAC)</f>
        <v>0.042575395917121714</v>
      </c>
      <c r="D70" s="281" t="s">
        <v>444</v>
      </c>
      <c r="F70" s="350">
        <v>2</v>
      </c>
      <c r="G70" s="348">
        <v>1808.45</v>
      </c>
      <c r="H70" s="348">
        <f>256/F70</f>
        <v>128</v>
      </c>
      <c r="I70" s="348">
        <f>360/H70</f>
        <v>2.8125</v>
      </c>
      <c r="J70" s="228"/>
    </row>
    <row r="71" spans="6:9" ht="12.75">
      <c r="F71" s="350">
        <v>4</v>
      </c>
      <c r="G71" s="348">
        <v>3616.9</v>
      </c>
      <c r="H71" s="348">
        <f>256/F71</f>
        <v>64</v>
      </c>
      <c r="I71" s="348">
        <f>360/H71</f>
        <v>5.625</v>
      </c>
    </row>
    <row r="72" spans="6:9" ht="12.75">
      <c r="F72" s="350">
        <v>8</v>
      </c>
      <c r="G72" s="348">
        <v>7233.68</v>
      </c>
      <c r="H72" s="348">
        <f>256/F72</f>
        <v>32</v>
      </c>
      <c r="I72" s="348">
        <f>360/H72</f>
        <v>11.25</v>
      </c>
    </row>
    <row r="73" ht="12.75">
      <c r="C73">
        <v>3893</v>
      </c>
    </row>
    <row r="74" spans="3:4" ht="12.75">
      <c r="C74">
        <f>((nb_sinusoides*quartz__Mhz*1000000/4)/nb_cycles)/bin24_bits</f>
        <v>0.042574748805788945</v>
      </c>
      <c r="D74" s="428" t="s">
        <v>883</v>
      </c>
    </row>
    <row r="75" ht="12.75">
      <c r="C75" s="427">
        <f>C74*C73</f>
        <v>165.74349710093637</v>
      </c>
    </row>
    <row r="77" spans="3:9" ht="12.75">
      <c r="C77" s="229" t="s">
        <v>880</v>
      </c>
      <c r="D77" s="427">
        <f>C29/10000</f>
        <v>25.836912639999998</v>
      </c>
      <c r="I77" s="299"/>
    </row>
    <row r="78" spans="3:9" ht="12.75">
      <c r="C78" s="353"/>
      <c r="I78" s="300"/>
    </row>
  </sheetData>
  <printOptions/>
  <pageMargins left="0.75" right="0.75" top="1" bottom="1" header="0.4921259845" footer="0.4921259845"/>
  <pageSetup fitToHeight="1" fitToWidth="1" orientation="portrait" paperSize="9" scale="52" r:id="rId2"/>
  <headerFooter alignWithMargins="0">
    <oddHeader>&amp;L&amp;F    &amp;A&amp;R&amp;D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O272"/>
  <sheetViews>
    <sheetView workbookViewId="0" topLeftCell="A1">
      <selection activeCell="C4" sqref="C4"/>
    </sheetView>
  </sheetViews>
  <sheetFormatPr defaultColWidth="11.421875" defaultRowHeight="12.75"/>
  <cols>
    <col min="1" max="1" width="22.8515625" style="0" customWidth="1"/>
  </cols>
  <sheetData>
    <row r="1" spans="4:5" ht="12.75">
      <c r="D1" s="295"/>
      <c r="E1" s="295"/>
    </row>
    <row r="2" ht="13.5" thickBot="1">
      <c r="E2" s="295"/>
    </row>
    <row r="3" spans="2:15" ht="13.5" thickBot="1">
      <c r="B3" s="91" t="s">
        <v>711</v>
      </c>
      <c r="C3" s="91" t="s">
        <v>707</v>
      </c>
      <c r="D3" s="91" t="s">
        <v>375</v>
      </c>
      <c r="N3" s="116" t="s">
        <v>708</v>
      </c>
      <c r="O3" s="205"/>
    </row>
    <row r="4" spans="2:15" ht="12.75">
      <c r="B4">
        <v>0</v>
      </c>
      <c r="C4">
        <f aca="true" t="shared" si="0" ref="C4:C67">128-INT(127*SIN(nb_sinusoides*2*PI()*B4/256))</f>
        <v>128</v>
      </c>
      <c r="D4" s="292" t="str">
        <f>IF(C4&gt;=0,(INDEX(zone1,INT(C4/16)+1,2)&amp;INDEX(zone1,C4-INT(C4/16)*16+1,2)),INDEX(zone1,INT((256+C4)/16)+1,2)&amp;INDEX(zone1,(256+C4)-INT((256+C4)/16)*16+1,2))</f>
        <v>80</v>
      </c>
      <c r="E4" t="str">
        <f>"    dt      0x"&amp;D4&amp;",0x"&amp;D5&amp;",0x"&amp;D6&amp;",0x"&amp;D7&amp;",0x"&amp;D8&amp;",0x"&amp;D9&amp;",0x"&amp;D10&amp;",0x"&amp;D11</f>
        <v>    dt      0x80,0x7A,0x74,0x6E,0x68,0x62,0x5C,0x56</v>
      </c>
      <c r="I4" s="116" t="s">
        <v>772</v>
      </c>
      <c r="J4" s="239"/>
      <c r="K4" s="239"/>
      <c r="L4" s="239"/>
      <c r="M4" s="205"/>
      <c r="N4" s="218">
        <v>0</v>
      </c>
      <c r="O4" s="289" t="s">
        <v>376</v>
      </c>
    </row>
    <row r="5" spans="2:15" ht="12.75">
      <c r="B5">
        <v>1</v>
      </c>
      <c r="C5">
        <f t="shared" si="0"/>
        <v>122</v>
      </c>
      <c r="D5" s="293" t="str">
        <f aca="true" t="shared" si="1" ref="D5:D68">IF(C5&gt;=0,(INDEX(zone1,INT(C5/16)+1,2)&amp;INDEX(zone1,C5-INT(C5/16)*16+1,2)),INDEX(zone1,INT((256+C5)/16)+1,2)&amp;INDEX(zone1,(256+C5)-INT((256+C5)/16)*16+1,2))</f>
        <v>7A</v>
      </c>
      <c r="I5" s="206" t="s">
        <v>773</v>
      </c>
      <c r="J5" s="78"/>
      <c r="K5" s="78"/>
      <c r="L5" s="78"/>
      <c r="M5" s="208"/>
      <c r="N5" s="218">
        <v>1</v>
      </c>
      <c r="O5" s="289" t="s">
        <v>377</v>
      </c>
    </row>
    <row r="6" spans="2:15" ht="12.75">
      <c r="B6">
        <v>2</v>
      </c>
      <c r="C6">
        <f t="shared" si="0"/>
        <v>116</v>
      </c>
      <c r="D6" s="293" t="str">
        <f t="shared" si="1"/>
        <v>74</v>
      </c>
      <c r="I6" s="206" t="s">
        <v>774</v>
      </c>
      <c r="J6" s="78"/>
      <c r="K6" s="78"/>
      <c r="L6" s="78"/>
      <c r="M6" s="208"/>
      <c r="N6" s="218">
        <v>2</v>
      </c>
      <c r="O6" s="289" t="s">
        <v>378</v>
      </c>
    </row>
    <row r="7" spans="2:15" ht="12.75">
      <c r="B7">
        <v>3</v>
      </c>
      <c r="C7">
        <f t="shared" si="0"/>
        <v>110</v>
      </c>
      <c r="D7" s="293" t="str">
        <f t="shared" si="1"/>
        <v>6E</v>
      </c>
      <c r="I7" s="206" t="s">
        <v>775</v>
      </c>
      <c r="J7" s="78"/>
      <c r="K7" s="78"/>
      <c r="L7" s="78"/>
      <c r="M7" s="208"/>
      <c r="N7" s="218">
        <v>3</v>
      </c>
      <c r="O7" s="289" t="s">
        <v>379</v>
      </c>
    </row>
    <row r="8" spans="2:15" ht="12.75">
      <c r="B8">
        <v>4</v>
      </c>
      <c r="C8">
        <f t="shared" si="0"/>
        <v>104</v>
      </c>
      <c r="D8" s="293" t="str">
        <f t="shared" si="1"/>
        <v>68</v>
      </c>
      <c r="I8" s="206" t="s">
        <v>776</v>
      </c>
      <c r="J8" s="78"/>
      <c r="K8" s="78"/>
      <c r="L8" s="78"/>
      <c r="M8" s="208"/>
      <c r="N8" s="218">
        <v>4</v>
      </c>
      <c r="O8" s="289" t="s">
        <v>380</v>
      </c>
    </row>
    <row r="9" spans="2:15" ht="12.75">
      <c r="B9">
        <v>5</v>
      </c>
      <c r="C9">
        <f t="shared" si="0"/>
        <v>98</v>
      </c>
      <c r="D9" s="293" t="str">
        <f t="shared" si="1"/>
        <v>62</v>
      </c>
      <c r="I9" s="206" t="s">
        <v>777</v>
      </c>
      <c r="J9" s="78"/>
      <c r="K9" s="78"/>
      <c r="L9" s="78"/>
      <c r="M9" s="208"/>
      <c r="N9" s="218">
        <v>5</v>
      </c>
      <c r="O9" s="289" t="s">
        <v>381</v>
      </c>
    </row>
    <row r="10" spans="2:15" ht="12.75">
      <c r="B10">
        <v>6</v>
      </c>
      <c r="C10">
        <f t="shared" si="0"/>
        <v>92</v>
      </c>
      <c r="D10" s="293" t="str">
        <f t="shared" si="1"/>
        <v>5C</v>
      </c>
      <c r="E10" t="str">
        <f>"    dt      0x"&amp;D10&amp;",0x"&amp;D11&amp;",0x"&amp;D12&amp;",0x"&amp;D13&amp;",0x"&amp;D14&amp;",0x"&amp;D15&amp;",0x"&amp;D16&amp;",0x"&amp;D17</f>
        <v>    dt      0x5C,0x56,0x50,0x4A,0x45,0x3F,0x3A,0x35</v>
      </c>
      <c r="I10" s="206" t="s">
        <v>778</v>
      </c>
      <c r="J10" s="78"/>
      <c r="K10" s="78"/>
      <c r="L10" s="78"/>
      <c r="M10" s="208"/>
      <c r="N10" s="218">
        <v>6</v>
      </c>
      <c r="O10" s="289" t="s">
        <v>382</v>
      </c>
    </row>
    <row r="11" spans="2:15" ht="13.5" thickBot="1">
      <c r="B11">
        <v>7</v>
      </c>
      <c r="C11">
        <f t="shared" si="0"/>
        <v>86</v>
      </c>
      <c r="D11" s="294" t="str">
        <f t="shared" si="1"/>
        <v>56</v>
      </c>
      <c r="I11" s="206" t="s">
        <v>779</v>
      </c>
      <c r="J11" s="78"/>
      <c r="K11" s="78"/>
      <c r="L11" s="78"/>
      <c r="M11" s="208"/>
      <c r="N11" s="218">
        <v>7</v>
      </c>
      <c r="O11" s="289" t="s">
        <v>383</v>
      </c>
    </row>
    <row r="12" spans="2:15" ht="12.75">
      <c r="B12">
        <v>8</v>
      </c>
      <c r="C12">
        <f t="shared" si="0"/>
        <v>80</v>
      </c>
      <c r="D12" s="292" t="str">
        <f t="shared" si="1"/>
        <v>50</v>
      </c>
      <c r="E12" t="str">
        <f>"    dt      0x"&amp;D12&amp;",0x"&amp;D13&amp;",0x"&amp;D14&amp;",0x"&amp;D15&amp;",0x"&amp;D16&amp;",0x"&amp;D17&amp;",0x"&amp;D18&amp;",0x"&amp;D19</f>
        <v>    dt      0x50,0x4A,0x45,0x3F,0x3A,0x35,0x30,0x2B</v>
      </c>
      <c r="I12" s="206" t="s">
        <v>780</v>
      </c>
      <c r="J12" s="78"/>
      <c r="K12" s="78"/>
      <c r="L12" s="78"/>
      <c r="M12" s="208"/>
      <c r="N12" s="218">
        <v>8</v>
      </c>
      <c r="O12" s="289" t="s">
        <v>384</v>
      </c>
    </row>
    <row r="13" spans="1:15" ht="12.75">
      <c r="A13" s="297" t="s">
        <v>712</v>
      </c>
      <c r="B13">
        <v>9</v>
      </c>
      <c r="C13">
        <f t="shared" si="0"/>
        <v>74</v>
      </c>
      <c r="D13" s="293" t="str">
        <f t="shared" si="1"/>
        <v>4A</v>
      </c>
      <c r="I13" s="206" t="s">
        <v>781</v>
      </c>
      <c r="J13" s="78"/>
      <c r="K13" s="78"/>
      <c r="L13" s="78"/>
      <c r="M13" s="208"/>
      <c r="N13" s="218">
        <v>9</v>
      </c>
      <c r="O13" s="289" t="s">
        <v>385</v>
      </c>
    </row>
    <row r="14" spans="2:15" ht="12.75">
      <c r="B14">
        <v>10</v>
      </c>
      <c r="C14">
        <f t="shared" si="0"/>
        <v>69</v>
      </c>
      <c r="D14" s="293" t="str">
        <f t="shared" si="1"/>
        <v>45</v>
      </c>
      <c r="I14" s="206" t="s">
        <v>782</v>
      </c>
      <c r="J14" s="78"/>
      <c r="K14" s="78"/>
      <c r="L14" s="78"/>
      <c r="M14" s="208"/>
      <c r="N14" s="218">
        <v>10</v>
      </c>
      <c r="O14" s="290" t="s">
        <v>386</v>
      </c>
    </row>
    <row r="15" spans="2:15" ht="12.75">
      <c r="B15">
        <v>11</v>
      </c>
      <c r="C15">
        <f t="shared" si="0"/>
        <v>63</v>
      </c>
      <c r="D15" s="293" t="str">
        <f t="shared" si="1"/>
        <v>3F</v>
      </c>
      <c r="I15" s="206" t="s">
        <v>783</v>
      </c>
      <c r="J15" s="78"/>
      <c r="K15" s="78"/>
      <c r="L15" s="78"/>
      <c r="M15" s="208"/>
      <c r="N15" s="218">
        <v>11</v>
      </c>
      <c r="O15" s="290" t="s">
        <v>387</v>
      </c>
    </row>
    <row r="16" spans="2:15" ht="12.75">
      <c r="B16">
        <v>12</v>
      </c>
      <c r="C16">
        <f t="shared" si="0"/>
        <v>58</v>
      </c>
      <c r="D16" s="293" t="str">
        <f t="shared" si="1"/>
        <v>3A</v>
      </c>
      <c r="I16" s="206" t="s">
        <v>784</v>
      </c>
      <c r="J16" s="78"/>
      <c r="K16" s="78"/>
      <c r="L16" s="78"/>
      <c r="M16" s="208"/>
      <c r="N16" s="218">
        <v>12</v>
      </c>
      <c r="O16" s="290" t="s">
        <v>388</v>
      </c>
    </row>
    <row r="17" spans="2:15" ht="12.75">
      <c r="B17">
        <v>13</v>
      </c>
      <c r="C17">
        <f t="shared" si="0"/>
        <v>53</v>
      </c>
      <c r="D17" s="293" t="str">
        <f t="shared" si="1"/>
        <v>35</v>
      </c>
      <c r="I17" s="206" t="s">
        <v>785</v>
      </c>
      <c r="J17" s="78"/>
      <c r="K17" s="78"/>
      <c r="L17" s="78"/>
      <c r="M17" s="208"/>
      <c r="N17" s="218">
        <v>13</v>
      </c>
      <c r="O17" s="290" t="s">
        <v>389</v>
      </c>
    </row>
    <row r="18" spans="2:15" ht="12.75">
      <c r="B18">
        <v>14</v>
      </c>
      <c r="C18">
        <f t="shared" si="0"/>
        <v>48</v>
      </c>
      <c r="D18" s="293" t="str">
        <f t="shared" si="1"/>
        <v>30</v>
      </c>
      <c r="E18" t="str">
        <f>"    dt      0x"&amp;D18&amp;",0x"&amp;D19&amp;",0x"&amp;D20&amp;",0x"&amp;D21&amp;",0x"&amp;D22&amp;",0x"&amp;D23&amp;",0x"&amp;D24&amp;",0x"&amp;D25</f>
        <v>    dt      0x30,0x2B,0x27,0x22,0x1E,0x1A,0x17,0x14</v>
      </c>
      <c r="I18" s="206" t="s">
        <v>786</v>
      </c>
      <c r="J18" s="78"/>
      <c r="K18" s="78"/>
      <c r="L18" s="78"/>
      <c r="M18" s="208"/>
      <c r="N18" s="218">
        <v>14</v>
      </c>
      <c r="O18" s="290" t="s">
        <v>390</v>
      </c>
    </row>
    <row r="19" spans="2:15" ht="13.5" thickBot="1">
      <c r="B19">
        <v>15</v>
      </c>
      <c r="C19">
        <f t="shared" si="0"/>
        <v>43</v>
      </c>
      <c r="D19" s="294" t="str">
        <f t="shared" si="1"/>
        <v>2B</v>
      </c>
      <c r="I19" s="206" t="s">
        <v>787</v>
      </c>
      <c r="J19" s="78"/>
      <c r="K19" s="78"/>
      <c r="L19" s="78"/>
      <c r="M19" s="208"/>
      <c r="N19" s="296">
        <v>15</v>
      </c>
      <c r="O19" s="291" t="s">
        <v>391</v>
      </c>
    </row>
    <row r="20" spans="2:13" ht="12.75">
      <c r="B20">
        <v>16</v>
      </c>
      <c r="C20">
        <f t="shared" si="0"/>
        <v>39</v>
      </c>
      <c r="D20" s="292" t="str">
        <f t="shared" si="1"/>
        <v>27</v>
      </c>
      <c r="E20" t="str">
        <f>"    dt      0x"&amp;D20&amp;",0x"&amp;D21&amp;",0x"&amp;D22&amp;",0x"&amp;D23&amp;",0x"&amp;D24&amp;",0x"&amp;D25&amp;",0x"&amp;D26&amp;",0x"&amp;D27</f>
        <v>    dt      0x27,0x22,0x1E,0x1A,0x17,0x14,0x10,0x0E</v>
      </c>
      <c r="I20" s="206" t="s">
        <v>788</v>
      </c>
      <c r="J20" s="78"/>
      <c r="K20" s="78"/>
      <c r="L20" s="78"/>
      <c r="M20" s="208"/>
    </row>
    <row r="21" spans="2:13" ht="12.75">
      <c r="B21">
        <v>17</v>
      </c>
      <c r="C21">
        <f t="shared" si="0"/>
        <v>34</v>
      </c>
      <c r="D21" s="293" t="str">
        <f t="shared" si="1"/>
        <v>22</v>
      </c>
      <c r="I21" s="206" t="s">
        <v>773</v>
      </c>
      <c r="J21" s="78"/>
      <c r="K21" s="78"/>
      <c r="L21" s="78"/>
      <c r="M21" s="208"/>
    </row>
    <row r="22" spans="2:13" ht="12.75">
      <c r="B22">
        <v>18</v>
      </c>
      <c r="C22">
        <f t="shared" si="0"/>
        <v>30</v>
      </c>
      <c r="D22" s="293" t="str">
        <f t="shared" si="1"/>
        <v>1E</v>
      </c>
      <c r="I22" s="206" t="s">
        <v>774</v>
      </c>
      <c r="J22" s="78"/>
      <c r="K22" s="78"/>
      <c r="L22" s="78"/>
      <c r="M22" s="208"/>
    </row>
    <row r="23" spans="2:13" ht="12.75">
      <c r="B23">
        <v>19</v>
      </c>
      <c r="C23">
        <f t="shared" si="0"/>
        <v>26</v>
      </c>
      <c r="D23" s="293" t="str">
        <f t="shared" si="1"/>
        <v>1A</v>
      </c>
      <c r="I23" s="206" t="s">
        <v>775</v>
      </c>
      <c r="J23" s="78"/>
      <c r="K23" s="78"/>
      <c r="L23" s="78"/>
      <c r="M23" s="208"/>
    </row>
    <row r="24" spans="2:13" ht="12.75">
      <c r="B24">
        <v>20</v>
      </c>
      <c r="C24">
        <f t="shared" si="0"/>
        <v>23</v>
      </c>
      <c r="D24" s="293" t="str">
        <f t="shared" si="1"/>
        <v>17</v>
      </c>
      <c r="I24" s="206" t="s">
        <v>776</v>
      </c>
      <c r="J24" s="78"/>
      <c r="K24" s="78"/>
      <c r="L24" s="78"/>
      <c r="M24" s="208"/>
    </row>
    <row r="25" spans="2:13" ht="12.75">
      <c r="B25">
        <v>21</v>
      </c>
      <c r="C25">
        <f t="shared" si="0"/>
        <v>20</v>
      </c>
      <c r="D25" s="293" t="str">
        <f t="shared" si="1"/>
        <v>14</v>
      </c>
      <c r="I25" s="206" t="s">
        <v>777</v>
      </c>
      <c r="J25" s="78"/>
      <c r="K25" s="78"/>
      <c r="L25" s="78"/>
      <c r="M25" s="208"/>
    </row>
    <row r="26" spans="2:13" ht="12.75">
      <c r="B26">
        <v>22</v>
      </c>
      <c r="C26">
        <f t="shared" si="0"/>
        <v>16</v>
      </c>
      <c r="D26" s="293" t="str">
        <f t="shared" si="1"/>
        <v>10</v>
      </c>
      <c r="E26" t="str">
        <f>"    dt      0x"&amp;D26&amp;",0x"&amp;D27&amp;",0x"&amp;D28&amp;",0x"&amp;D29&amp;",0x"&amp;D30&amp;",0x"&amp;D31&amp;",0x"&amp;D32&amp;",0x"&amp;D33</f>
        <v>    dt      0x10,0x0E,0x0B,0x09,0x07,0x05,0x04,0x03</v>
      </c>
      <c r="I26" s="206" t="s">
        <v>778</v>
      </c>
      <c r="J26" s="78"/>
      <c r="K26" s="78"/>
      <c r="L26" s="78"/>
      <c r="M26" s="208"/>
    </row>
    <row r="27" spans="2:13" ht="13.5" thickBot="1">
      <c r="B27">
        <v>23</v>
      </c>
      <c r="C27">
        <f t="shared" si="0"/>
        <v>14</v>
      </c>
      <c r="D27" s="294" t="str">
        <f t="shared" si="1"/>
        <v>0E</v>
      </c>
      <c r="I27" s="206" t="s">
        <v>779</v>
      </c>
      <c r="J27" s="78"/>
      <c r="K27" s="78"/>
      <c r="L27" s="78"/>
      <c r="M27" s="208"/>
    </row>
    <row r="28" spans="2:13" ht="12.75">
      <c r="B28">
        <v>24</v>
      </c>
      <c r="C28">
        <f t="shared" si="0"/>
        <v>11</v>
      </c>
      <c r="D28" s="234" t="str">
        <f t="shared" si="1"/>
        <v>0B</v>
      </c>
      <c r="E28" t="str">
        <f>"    dt      0x"&amp;D28&amp;",0x"&amp;D29&amp;",0x"&amp;D30&amp;",0x"&amp;D31&amp;",0x"&amp;D32&amp;",0x"&amp;D33&amp;",0x"&amp;D34&amp;",0x"&amp;D35</f>
        <v>    dt      0x0B,0x09,0x07,0x05,0x04,0x03,0x02,0x02</v>
      </c>
      <c r="I28" s="206" t="s">
        <v>780</v>
      </c>
      <c r="J28" s="78"/>
      <c r="K28" s="78"/>
      <c r="L28" s="78"/>
      <c r="M28" s="208"/>
    </row>
    <row r="29" spans="2:13" ht="12.75">
      <c r="B29">
        <v>25</v>
      </c>
      <c r="C29">
        <f t="shared" si="0"/>
        <v>9</v>
      </c>
      <c r="D29" s="234" t="str">
        <f t="shared" si="1"/>
        <v>09</v>
      </c>
      <c r="I29" s="206" t="s">
        <v>781</v>
      </c>
      <c r="J29" s="78"/>
      <c r="K29" s="78"/>
      <c r="L29" s="78"/>
      <c r="M29" s="208"/>
    </row>
    <row r="30" spans="2:13" ht="12.75">
      <c r="B30">
        <v>26</v>
      </c>
      <c r="C30">
        <f t="shared" si="0"/>
        <v>7</v>
      </c>
      <c r="D30" s="234" t="str">
        <f t="shared" si="1"/>
        <v>07</v>
      </c>
      <c r="I30" s="206" t="s">
        <v>782</v>
      </c>
      <c r="J30" s="78"/>
      <c r="K30" s="78"/>
      <c r="L30" s="78"/>
      <c r="M30" s="208"/>
    </row>
    <row r="31" spans="2:13" ht="12.75">
      <c r="B31">
        <v>27</v>
      </c>
      <c r="C31">
        <f t="shared" si="0"/>
        <v>5</v>
      </c>
      <c r="D31" s="234" t="str">
        <f t="shared" si="1"/>
        <v>05</v>
      </c>
      <c r="I31" s="206" t="s">
        <v>783</v>
      </c>
      <c r="J31" s="78"/>
      <c r="K31" s="78"/>
      <c r="L31" s="78"/>
      <c r="M31" s="208"/>
    </row>
    <row r="32" spans="2:13" ht="12.75">
      <c r="B32">
        <v>28</v>
      </c>
      <c r="C32">
        <f t="shared" si="0"/>
        <v>4</v>
      </c>
      <c r="D32" s="234" t="str">
        <f t="shared" si="1"/>
        <v>04</v>
      </c>
      <c r="I32" s="206" t="s">
        <v>784</v>
      </c>
      <c r="J32" s="78"/>
      <c r="K32" s="78"/>
      <c r="L32" s="78"/>
      <c r="M32" s="208"/>
    </row>
    <row r="33" spans="2:13" ht="12.75">
      <c r="B33">
        <v>29</v>
      </c>
      <c r="C33">
        <f t="shared" si="0"/>
        <v>3</v>
      </c>
      <c r="D33" s="234" t="str">
        <f t="shared" si="1"/>
        <v>03</v>
      </c>
      <c r="I33" s="206" t="s">
        <v>785</v>
      </c>
      <c r="J33" s="78"/>
      <c r="K33" s="78"/>
      <c r="L33" s="78"/>
      <c r="M33" s="208"/>
    </row>
    <row r="34" spans="2:13" ht="12.75">
      <c r="B34">
        <v>30</v>
      </c>
      <c r="C34">
        <f t="shared" si="0"/>
        <v>2</v>
      </c>
      <c r="D34" s="234" t="str">
        <f t="shared" si="1"/>
        <v>02</v>
      </c>
      <c r="E34" t="str">
        <f>"    dt      0x"&amp;D34&amp;",0x"&amp;D35&amp;",0x"&amp;D36&amp;",0x"&amp;D37&amp;",0x"&amp;D38&amp;",0x"&amp;D39&amp;",0x"&amp;D40&amp;",0x"&amp;D41</f>
        <v>    dt      0x02,0x02,0x01,0x02,0x02,0x03,0x04,0x05</v>
      </c>
      <c r="I34" s="206" t="s">
        <v>786</v>
      </c>
      <c r="J34" s="78"/>
      <c r="K34" s="78"/>
      <c r="L34" s="78"/>
      <c r="M34" s="208"/>
    </row>
    <row r="35" spans="2:13" ht="12.75">
      <c r="B35">
        <v>31</v>
      </c>
      <c r="C35">
        <f t="shared" si="0"/>
        <v>2</v>
      </c>
      <c r="D35" s="234" t="str">
        <f t="shared" si="1"/>
        <v>02</v>
      </c>
      <c r="I35" s="206" t="s">
        <v>787</v>
      </c>
      <c r="J35" s="78"/>
      <c r="K35" s="78"/>
      <c r="L35" s="78"/>
      <c r="M35" s="208"/>
    </row>
    <row r="36" spans="2:13" ht="13.5" thickBot="1">
      <c r="B36">
        <v>32</v>
      </c>
      <c r="C36">
        <f t="shared" si="0"/>
        <v>1</v>
      </c>
      <c r="D36" s="234" t="str">
        <f t="shared" si="1"/>
        <v>01</v>
      </c>
      <c r="E36" t="str">
        <f>"    dt      0x"&amp;D36&amp;",0x"&amp;D37&amp;",0x"&amp;D38&amp;",0x"&amp;D39&amp;",0x"&amp;D40&amp;",0x"&amp;D41&amp;",0x"&amp;D42&amp;",0x"&amp;D43</f>
        <v>    dt      0x01,0x02,0x02,0x03,0x04,0x05,0x07,0x09</v>
      </c>
      <c r="I36" s="209" t="s">
        <v>709</v>
      </c>
      <c r="J36" s="250"/>
      <c r="K36" s="250"/>
      <c r="L36" s="250"/>
      <c r="M36" s="120"/>
    </row>
    <row r="37" spans="2:4" ht="12.75">
      <c r="B37">
        <v>33</v>
      </c>
      <c r="C37">
        <f t="shared" si="0"/>
        <v>2</v>
      </c>
      <c r="D37" s="234" t="str">
        <f t="shared" si="1"/>
        <v>02</v>
      </c>
    </row>
    <row r="38" spans="2:4" ht="12.75">
      <c r="B38">
        <v>34</v>
      </c>
      <c r="C38">
        <f t="shared" si="0"/>
        <v>2</v>
      </c>
      <c r="D38" s="234" t="str">
        <f t="shared" si="1"/>
        <v>02</v>
      </c>
    </row>
    <row r="39" spans="2:4" ht="12.75">
      <c r="B39">
        <v>35</v>
      </c>
      <c r="C39">
        <f t="shared" si="0"/>
        <v>3</v>
      </c>
      <c r="D39" s="234" t="str">
        <f t="shared" si="1"/>
        <v>03</v>
      </c>
    </row>
    <row r="40" spans="2:4" ht="12.75">
      <c r="B40">
        <v>36</v>
      </c>
      <c r="C40">
        <f t="shared" si="0"/>
        <v>4</v>
      </c>
      <c r="D40" s="234" t="str">
        <f t="shared" si="1"/>
        <v>04</v>
      </c>
    </row>
    <row r="41" spans="2:4" ht="12.75">
      <c r="B41">
        <v>37</v>
      </c>
      <c r="C41">
        <f t="shared" si="0"/>
        <v>5</v>
      </c>
      <c r="D41" s="234" t="str">
        <f t="shared" si="1"/>
        <v>05</v>
      </c>
    </row>
    <row r="42" spans="2:5" ht="12.75">
      <c r="B42">
        <v>38</v>
      </c>
      <c r="C42">
        <f t="shared" si="0"/>
        <v>7</v>
      </c>
      <c r="D42" s="234" t="str">
        <f t="shared" si="1"/>
        <v>07</v>
      </c>
      <c r="E42" t="str">
        <f>"    dt      0x"&amp;D42&amp;",0x"&amp;D43&amp;",0x"&amp;D44&amp;",0x"&amp;D45&amp;",0x"&amp;D46&amp;",0x"&amp;D47&amp;",0x"&amp;D48&amp;",0x"&amp;D49</f>
        <v>    dt      0x07,0x09,0x0B,0x0E,0x10,0x14,0x17,0x1A</v>
      </c>
    </row>
    <row r="43" spans="2:4" ht="12.75">
      <c r="B43">
        <v>39</v>
      </c>
      <c r="C43">
        <f t="shared" si="0"/>
        <v>9</v>
      </c>
      <c r="D43" s="234" t="str">
        <f t="shared" si="1"/>
        <v>09</v>
      </c>
    </row>
    <row r="44" spans="2:5" ht="12.75">
      <c r="B44">
        <v>40</v>
      </c>
      <c r="C44">
        <f t="shared" si="0"/>
        <v>11</v>
      </c>
      <c r="D44" s="234" t="str">
        <f t="shared" si="1"/>
        <v>0B</v>
      </c>
      <c r="E44" t="str">
        <f>"    dt      0x"&amp;D44&amp;",0x"&amp;D45&amp;",0x"&amp;D46&amp;",0x"&amp;D47&amp;",0x"&amp;D48&amp;",0x"&amp;D49&amp;",0x"&amp;D50&amp;",0x"&amp;D51</f>
        <v>    dt      0x0B,0x0E,0x10,0x14,0x17,0x1A,0x1E,0x22</v>
      </c>
    </row>
    <row r="45" spans="2:4" ht="12.75">
      <c r="B45">
        <v>41</v>
      </c>
      <c r="C45">
        <f t="shared" si="0"/>
        <v>14</v>
      </c>
      <c r="D45" s="234" t="str">
        <f t="shared" si="1"/>
        <v>0E</v>
      </c>
    </row>
    <row r="46" spans="2:4" ht="12.75">
      <c r="B46">
        <v>42</v>
      </c>
      <c r="C46">
        <f t="shared" si="0"/>
        <v>16</v>
      </c>
      <c r="D46" s="234" t="str">
        <f t="shared" si="1"/>
        <v>10</v>
      </c>
    </row>
    <row r="47" spans="2:4" ht="12.75">
      <c r="B47">
        <v>43</v>
      </c>
      <c r="C47">
        <f t="shared" si="0"/>
        <v>20</v>
      </c>
      <c r="D47" s="234" t="str">
        <f t="shared" si="1"/>
        <v>14</v>
      </c>
    </row>
    <row r="48" spans="2:4" ht="12.75">
      <c r="B48">
        <v>44</v>
      </c>
      <c r="C48">
        <f t="shared" si="0"/>
        <v>23</v>
      </c>
      <c r="D48" s="234" t="str">
        <f t="shared" si="1"/>
        <v>17</v>
      </c>
    </row>
    <row r="49" spans="2:4" ht="12.75">
      <c r="B49">
        <v>45</v>
      </c>
      <c r="C49">
        <f t="shared" si="0"/>
        <v>26</v>
      </c>
      <c r="D49" s="234" t="str">
        <f t="shared" si="1"/>
        <v>1A</v>
      </c>
    </row>
    <row r="50" spans="2:5" ht="12.75">
      <c r="B50">
        <v>46</v>
      </c>
      <c r="C50">
        <f t="shared" si="0"/>
        <v>30</v>
      </c>
      <c r="D50" s="234" t="str">
        <f t="shared" si="1"/>
        <v>1E</v>
      </c>
      <c r="E50" t="str">
        <f>"    dt      0x"&amp;D50&amp;",0x"&amp;D51&amp;",0x"&amp;D52&amp;",0x"&amp;D53&amp;",0x"&amp;D54&amp;",0x"&amp;D55&amp;",0x"&amp;D56&amp;",0x"&amp;D57</f>
        <v>    dt      0x1E,0x22,0x27,0x2B,0x30,0x35,0x3A,0x3F</v>
      </c>
    </row>
    <row r="51" spans="2:4" ht="12.75">
      <c r="B51">
        <v>47</v>
      </c>
      <c r="C51">
        <f t="shared" si="0"/>
        <v>34</v>
      </c>
      <c r="D51" s="234" t="str">
        <f t="shared" si="1"/>
        <v>22</v>
      </c>
    </row>
    <row r="52" spans="2:5" ht="12.75">
      <c r="B52">
        <v>48</v>
      </c>
      <c r="C52">
        <f t="shared" si="0"/>
        <v>39</v>
      </c>
      <c r="D52" s="234" t="str">
        <f t="shared" si="1"/>
        <v>27</v>
      </c>
      <c r="E52" t="str">
        <f>"    dt      0x"&amp;D52&amp;",0x"&amp;D53&amp;",0x"&amp;D54&amp;",0x"&amp;D55&amp;",0x"&amp;D56&amp;",0x"&amp;D57&amp;",0x"&amp;D58&amp;",0x"&amp;D59</f>
        <v>    dt      0x27,0x2B,0x30,0x35,0x3A,0x3F,0x45,0x4A</v>
      </c>
    </row>
    <row r="53" spans="2:4" ht="12.75">
      <c r="B53">
        <v>49</v>
      </c>
      <c r="C53">
        <f t="shared" si="0"/>
        <v>43</v>
      </c>
      <c r="D53" s="234" t="str">
        <f t="shared" si="1"/>
        <v>2B</v>
      </c>
    </row>
    <row r="54" spans="2:4" ht="12.75">
      <c r="B54">
        <v>50</v>
      </c>
      <c r="C54">
        <f t="shared" si="0"/>
        <v>48</v>
      </c>
      <c r="D54" s="234" t="str">
        <f t="shared" si="1"/>
        <v>30</v>
      </c>
    </row>
    <row r="55" spans="2:4" ht="12.75">
      <c r="B55">
        <v>51</v>
      </c>
      <c r="C55">
        <f t="shared" si="0"/>
        <v>53</v>
      </c>
      <c r="D55" s="234" t="str">
        <f t="shared" si="1"/>
        <v>35</v>
      </c>
    </row>
    <row r="56" spans="2:4" ht="12.75">
      <c r="B56">
        <v>52</v>
      </c>
      <c r="C56">
        <f t="shared" si="0"/>
        <v>58</v>
      </c>
      <c r="D56" s="234" t="str">
        <f t="shared" si="1"/>
        <v>3A</v>
      </c>
    </row>
    <row r="57" spans="2:4" ht="12.75">
      <c r="B57">
        <v>53</v>
      </c>
      <c r="C57">
        <f t="shared" si="0"/>
        <v>63</v>
      </c>
      <c r="D57" s="234" t="str">
        <f t="shared" si="1"/>
        <v>3F</v>
      </c>
    </row>
    <row r="58" spans="2:5" ht="12.75">
      <c r="B58">
        <v>54</v>
      </c>
      <c r="C58">
        <f t="shared" si="0"/>
        <v>69</v>
      </c>
      <c r="D58" s="234" t="str">
        <f t="shared" si="1"/>
        <v>45</v>
      </c>
      <c r="E58" t="str">
        <f>"    dt      0x"&amp;D58&amp;",0x"&amp;D59&amp;",0x"&amp;D60&amp;",0x"&amp;D61&amp;",0x"&amp;D62&amp;",0x"&amp;D63&amp;",0x"&amp;D64&amp;",0x"&amp;D65</f>
        <v>    dt      0x45,0x4A,0x50,0x56,0x5C,0x62,0x68,0x6E</v>
      </c>
    </row>
    <row r="59" spans="2:4" ht="12.75">
      <c r="B59">
        <v>55</v>
      </c>
      <c r="C59">
        <f t="shared" si="0"/>
        <v>74</v>
      </c>
      <c r="D59" s="234" t="str">
        <f t="shared" si="1"/>
        <v>4A</v>
      </c>
    </row>
    <row r="60" spans="2:5" ht="12.75">
      <c r="B60">
        <v>56</v>
      </c>
      <c r="C60">
        <f t="shared" si="0"/>
        <v>80</v>
      </c>
      <c r="D60" s="234" t="str">
        <f t="shared" si="1"/>
        <v>50</v>
      </c>
      <c r="E60" t="str">
        <f>"    dt      0x"&amp;D60&amp;",0x"&amp;D61&amp;",0x"&amp;D62&amp;",0x"&amp;D63&amp;",0x"&amp;D64&amp;",0x"&amp;D65&amp;",0x"&amp;D66&amp;",0x"&amp;D67</f>
        <v>    dt      0x50,0x56,0x5C,0x62,0x68,0x6E,0x74,0x7A</v>
      </c>
    </row>
    <row r="61" spans="2:4" ht="12.75">
      <c r="B61">
        <v>57</v>
      </c>
      <c r="C61">
        <f t="shared" si="0"/>
        <v>86</v>
      </c>
      <c r="D61" s="234" t="str">
        <f t="shared" si="1"/>
        <v>56</v>
      </c>
    </row>
    <row r="62" spans="2:4" ht="12.75">
      <c r="B62">
        <v>58</v>
      </c>
      <c r="C62">
        <f t="shared" si="0"/>
        <v>92</v>
      </c>
      <c r="D62" s="234" t="str">
        <f t="shared" si="1"/>
        <v>5C</v>
      </c>
    </row>
    <row r="63" spans="2:4" ht="12.75">
      <c r="B63">
        <v>59</v>
      </c>
      <c r="C63">
        <f t="shared" si="0"/>
        <v>98</v>
      </c>
      <c r="D63" s="234" t="str">
        <f t="shared" si="1"/>
        <v>62</v>
      </c>
    </row>
    <row r="64" spans="2:4" ht="12.75">
      <c r="B64">
        <v>60</v>
      </c>
      <c r="C64">
        <f t="shared" si="0"/>
        <v>104</v>
      </c>
      <c r="D64" s="234" t="str">
        <f t="shared" si="1"/>
        <v>68</v>
      </c>
    </row>
    <row r="65" spans="2:4" ht="12.75">
      <c r="B65">
        <v>61</v>
      </c>
      <c r="C65">
        <f t="shared" si="0"/>
        <v>110</v>
      </c>
      <c r="D65" s="234" t="str">
        <f t="shared" si="1"/>
        <v>6E</v>
      </c>
    </row>
    <row r="66" spans="2:5" ht="12.75">
      <c r="B66">
        <v>62</v>
      </c>
      <c r="C66">
        <f t="shared" si="0"/>
        <v>116</v>
      </c>
      <c r="D66" s="234" t="str">
        <f t="shared" si="1"/>
        <v>74</v>
      </c>
      <c r="E66" t="str">
        <f>"    dt      0x"&amp;D66&amp;",0x"&amp;D67&amp;",0x"&amp;D68&amp;",0x"&amp;D69&amp;",0x"&amp;D70&amp;",0x"&amp;D71&amp;",0x"&amp;D72&amp;",0x"&amp;D73</f>
        <v>    dt      0x74,0x7A,0x80,0x87,0x8D,0x93,0x99,0x9F</v>
      </c>
    </row>
    <row r="67" spans="2:4" ht="12.75">
      <c r="B67">
        <v>63</v>
      </c>
      <c r="C67">
        <f t="shared" si="0"/>
        <v>122</v>
      </c>
      <c r="D67" s="234" t="str">
        <f t="shared" si="1"/>
        <v>7A</v>
      </c>
    </row>
    <row r="68" spans="2:5" ht="12.75">
      <c r="B68">
        <v>64</v>
      </c>
      <c r="C68">
        <f aca="true" t="shared" si="2" ref="C68:C131">128-INT(127*SIN(nb_sinusoides*2*PI()*B68/256))</f>
        <v>128</v>
      </c>
      <c r="D68" s="234" t="str">
        <f t="shared" si="1"/>
        <v>80</v>
      </c>
      <c r="E68" t="str">
        <f>"    dt      0x"&amp;D68&amp;",0x"&amp;D69&amp;",0x"&amp;D70&amp;",0x"&amp;D71&amp;",0x"&amp;D72&amp;",0x"&amp;D73&amp;",0x"&amp;D74&amp;",0x"&amp;D75</f>
        <v>    dt      0x80,0x87,0x8D,0x93,0x99,0x9F,0xA5,0xAB</v>
      </c>
    </row>
    <row r="69" spans="2:4" ht="12.75">
      <c r="B69">
        <v>65</v>
      </c>
      <c r="C69">
        <f t="shared" si="2"/>
        <v>135</v>
      </c>
      <c r="D69" s="234" t="str">
        <f aca="true" t="shared" si="3" ref="D69:D132">IF(C69&gt;=0,(INDEX(zone1,INT(C69/16)+1,2)&amp;INDEX(zone1,C69-INT(C69/16)*16+1,2)),INDEX(zone1,INT((256+C69)/16)+1,2)&amp;INDEX(zone1,(256+C69)-INT((256+C69)/16)*16+1,2))</f>
        <v>87</v>
      </c>
    </row>
    <row r="70" spans="2:4" ht="12.75">
      <c r="B70">
        <v>66</v>
      </c>
      <c r="C70">
        <f t="shared" si="2"/>
        <v>141</v>
      </c>
      <c r="D70" s="234" t="str">
        <f t="shared" si="3"/>
        <v>8D</v>
      </c>
    </row>
    <row r="71" spans="2:4" ht="12.75">
      <c r="B71">
        <v>67</v>
      </c>
      <c r="C71">
        <f t="shared" si="2"/>
        <v>147</v>
      </c>
      <c r="D71" s="234" t="str">
        <f t="shared" si="3"/>
        <v>93</v>
      </c>
    </row>
    <row r="72" spans="2:4" ht="12.75">
      <c r="B72">
        <v>68</v>
      </c>
      <c r="C72">
        <f t="shared" si="2"/>
        <v>153</v>
      </c>
      <c r="D72" s="234" t="str">
        <f t="shared" si="3"/>
        <v>99</v>
      </c>
    </row>
    <row r="73" spans="2:4" ht="12.75">
      <c r="B73">
        <v>69</v>
      </c>
      <c r="C73">
        <f t="shared" si="2"/>
        <v>159</v>
      </c>
      <c r="D73" s="234" t="str">
        <f t="shared" si="3"/>
        <v>9F</v>
      </c>
    </row>
    <row r="74" spans="2:5" ht="12.75">
      <c r="B74">
        <v>70</v>
      </c>
      <c r="C74">
        <f t="shared" si="2"/>
        <v>165</v>
      </c>
      <c r="D74" s="234" t="str">
        <f t="shared" si="3"/>
        <v>A5</v>
      </c>
      <c r="E74" t="str">
        <f>"    dt      0x"&amp;D74&amp;",0x"&amp;D75&amp;",0x"&amp;D76&amp;",0x"&amp;D77&amp;",0x"&amp;D78&amp;",0x"&amp;D79&amp;",0x"&amp;D80&amp;",0x"&amp;D81</f>
        <v>    dt      0xA5,0xAB,0xB1,0xB7,0xBC,0xC2,0xC7,0xCC</v>
      </c>
    </row>
    <row r="75" spans="2:4" ht="12.75">
      <c r="B75">
        <v>71</v>
      </c>
      <c r="C75">
        <f t="shared" si="2"/>
        <v>171</v>
      </c>
      <c r="D75" s="234" t="str">
        <f t="shared" si="3"/>
        <v>AB</v>
      </c>
    </row>
    <row r="76" spans="2:5" ht="12.75">
      <c r="B76">
        <v>72</v>
      </c>
      <c r="C76">
        <f t="shared" si="2"/>
        <v>177</v>
      </c>
      <c r="D76" s="234" t="str">
        <f t="shared" si="3"/>
        <v>B1</v>
      </c>
      <c r="E76" t="str">
        <f>"    dt      0x"&amp;D76&amp;",0x"&amp;D77&amp;",0x"&amp;D78&amp;",0x"&amp;D79&amp;",0x"&amp;D80&amp;",0x"&amp;D81&amp;",0x"&amp;D82&amp;",0x"&amp;D83</f>
        <v>    dt      0xB1,0xB7,0xBC,0xC2,0xC7,0xCC,0xD1,0xD6</v>
      </c>
    </row>
    <row r="77" spans="2:4" ht="12.75">
      <c r="B77">
        <v>73</v>
      </c>
      <c r="C77">
        <f t="shared" si="2"/>
        <v>183</v>
      </c>
      <c r="D77" s="234" t="str">
        <f t="shared" si="3"/>
        <v>B7</v>
      </c>
    </row>
    <row r="78" spans="2:4" ht="12.75">
      <c r="B78">
        <v>74</v>
      </c>
      <c r="C78">
        <f t="shared" si="2"/>
        <v>188</v>
      </c>
      <c r="D78" s="234" t="str">
        <f t="shared" si="3"/>
        <v>BC</v>
      </c>
    </row>
    <row r="79" spans="2:4" ht="12.75">
      <c r="B79">
        <v>75</v>
      </c>
      <c r="C79">
        <f t="shared" si="2"/>
        <v>194</v>
      </c>
      <c r="D79" s="234" t="str">
        <f t="shared" si="3"/>
        <v>C2</v>
      </c>
    </row>
    <row r="80" spans="2:4" ht="12.75">
      <c r="B80">
        <v>76</v>
      </c>
      <c r="C80">
        <f t="shared" si="2"/>
        <v>199</v>
      </c>
      <c r="D80" s="234" t="str">
        <f t="shared" si="3"/>
        <v>C7</v>
      </c>
    </row>
    <row r="81" spans="2:4" ht="12.75">
      <c r="B81">
        <v>77</v>
      </c>
      <c r="C81">
        <f t="shared" si="2"/>
        <v>204</v>
      </c>
      <c r="D81" s="234" t="str">
        <f t="shared" si="3"/>
        <v>CC</v>
      </c>
    </row>
    <row r="82" spans="2:5" ht="12.75">
      <c r="B82">
        <v>78</v>
      </c>
      <c r="C82">
        <f t="shared" si="2"/>
        <v>209</v>
      </c>
      <c r="D82" s="234" t="str">
        <f t="shared" si="3"/>
        <v>D1</v>
      </c>
      <c r="E82" t="str">
        <f>"    dt      0x"&amp;D82&amp;",0x"&amp;D83&amp;",0x"&amp;D84&amp;",0x"&amp;D85&amp;",0x"&amp;D86&amp;",0x"&amp;D87&amp;",0x"&amp;D88&amp;",0x"&amp;D89</f>
        <v>    dt      0xD1,0xD6,0xDA,0xDF,0xE3,0xE7,0xEA,0xED</v>
      </c>
    </row>
    <row r="83" spans="2:4" ht="12.75">
      <c r="B83">
        <v>79</v>
      </c>
      <c r="C83">
        <f t="shared" si="2"/>
        <v>214</v>
      </c>
      <c r="D83" s="234" t="str">
        <f t="shared" si="3"/>
        <v>D6</v>
      </c>
    </row>
    <row r="84" spans="2:5" ht="12.75">
      <c r="B84">
        <v>80</v>
      </c>
      <c r="C84">
        <f t="shared" si="2"/>
        <v>218</v>
      </c>
      <c r="D84" s="234" t="str">
        <f t="shared" si="3"/>
        <v>DA</v>
      </c>
      <c r="E84" t="str">
        <f>"    dt      0x"&amp;D84&amp;",0x"&amp;D85&amp;",0x"&amp;D86&amp;",0x"&amp;D87&amp;",0x"&amp;D88&amp;",0x"&amp;D89&amp;",0x"&amp;D90&amp;",0x"&amp;D91</f>
        <v>    dt      0xDA,0xDF,0xE3,0xE7,0xEA,0xED,0xF1,0xF3</v>
      </c>
    </row>
    <row r="85" spans="2:4" ht="12.75">
      <c r="B85">
        <v>81</v>
      </c>
      <c r="C85">
        <f t="shared" si="2"/>
        <v>223</v>
      </c>
      <c r="D85" s="234" t="str">
        <f t="shared" si="3"/>
        <v>DF</v>
      </c>
    </row>
    <row r="86" spans="2:4" ht="12.75">
      <c r="B86">
        <v>82</v>
      </c>
      <c r="C86">
        <f t="shared" si="2"/>
        <v>227</v>
      </c>
      <c r="D86" s="234" t="str">
        <f t="shared" si="3"/>
        <v>E3</v>
      </c>
    </row>
    <row r="87" spans="2:4" ht="12.75">
      <c r="B87">
        <v>83</v>
      </c>
      <c r="C87">
        <f t="shared" si="2"/>
        <v>231</v>
      </c>
      <c r="D87" s="234" t="str">
        <f t="shared" si="3"/>
        <v>E7</v>
      </c>
    </row>
    <row r="88" spans="2:4" ht="12.75">
      <c r="B88">
        <v>84</v>
      </c>
      <c r="C88">
        <f t="shared" si="2"/>
        <v>234</v>
      </c>
      <c r="D88" s="234" t="str">
        <f t="shared" si="3"/>
        <v>EA</v>
      </c>
    </row>
    <row r="89" spans="2:4" ht="12.75">
      <c r="B89">
        <v>85</v>
      </c>
      <c r="C89">
        <f t="shared" si="2"/>
        <v>237</v>
      </c>
      <c r="D89" s="234" t="str">
        <f t="shared" si="3"/>
        <v>ED</v>
      </c>
    </row>
    <row r="90" spans="2:5" ht="12.75">
      <c r="B90">
        <v>86</v>
      </c>
      <c r="C90">
        <f t="shared" si="2"/>
        <v>241</v>
      </c>
      <c r="D90" s="234" t="str">
        <f t="shared" si="3"/>
        <v>F1</v>
      </c>
      <c r="E90" t="str">
        <f>"    dt      0x"&amp;D90&amp;",0x"&amp;D91&amp;",0x"&amp;D92&amp;",0x"&amp;D93&amp;",0x"&amp;D94&amp;",0x"&amp;D95&amp;",0x"&amp;D96&amp;",0x"&amp;D97</f>
        <v>    dt      0xF1,0xF3,0xF6,0xF8,0xFA,0xFC,0xFD,0xFE</v>
      </c>
    </row>
    <row r="91" spans="2:4" ht="12.75">
      <c r="B91">
        <v>87</v>
      </c>
      <c r="C91">
        <f t="shared" si="2"/>
        <v>243</v>
      </c>
      <c r="D91" s="234" t="str">
        <f t="shared" si="3"/>
        <v>F3</v>
      </c>
    </row>
    <row r="92" spans="2:5" ht="12.75">
      <c r="B92">
        <v>88</v>
      </c>
      <c r="C92">
        <f t="shared" si="2"/>
        <v>246</v>
      </c>
      <c r="D92" s="234" t="str">
        <f t="shared" si="3"/>
        <v>F6</v>
      </c>
      <c r="E92" t="str">
        <f>"    dt      0x"&amp;D92&amp;",0x"&amp;D93&amp;",0x"&amp;D94&amp;",0x"&amp;D95&amp;",0x"&amp;D96&amp;",0x"&amp;D97&amp;",0x"&amp;D98&amp;",0x"&amp;D99</f>
        <v>    dt      0xF6,0xF8,0xFA,0xFC,0xFD,0xFE,0xFF,0xFF</v>
      </c>
    </row>
    <row r="93" spans="2:4" ht="12.75">
      <c r="B93">
        <v>89</v>
      </c>
      <c r="C93">
        <f t="shared" si="2"/>
        <v>248</v>
      </c>
      <c r="D93" s="234" t="str">
        <f t="shared" si="3"/>
        <v>F8</v>
      </c>
    </row>
    <row r="94" spans="2:4" ht="12.75">
      <c r="B94">
        <v>90</v>
      </c>
      <c r="C94">
        <f t="shared" si="2"/>
        <v>250</v>
      </c>
      <c r="D94" s="234" t="str">
        <f t="shared" si="3"/>
        <v>FA</v>
      </c>
    </row>
    <row r="95" spans="2:4" ht="12.75">
      <c r="B95">
        <v>91</v>
      </c>
      <c r="C95">
        <f t="shared" si="2"/>
        <v>252</v>
      </c>
      <c r="D95" s="234" t="str">
        <f t="shared" si="3"/>
        <v>FC</v>
      </c>
    </row>
    <row r="96" spans="2:4" ht="12.75">
      <c r="B96">
        <v>92</v>
      </c>
      <c r="C96">
        <f t="shared" si="2"/>
        <v>253</v>
      </c>
      <c r="D96" s="234" t="str">
        <f t="shared" si="3"/>
        <v>FD</v>
      </c>
    </row>
    <row r="97" spans="2:4" ht="12.75">
      <c r="B97">
        <v>93</v>
      </c>
      <c r="C97">
        <f t="shared" si="2"/>
        <v>254</v>
      </c>
      <c r="D97" s="234" t="str">
        <f t="shared" si="3"/>
        <v>FE</v>
      </c>
    </row>
    <row r="98" spans="2:5" ht="12.75">
      <c r="B98">
        <v>94</v>
      </c>
      <c r="C98">
        <f t="shared" si="2"/>
        <v>255</v>
      </c>
      <c r="D98" s="234" t="str">
        <f t="shared" si="3"/>
        <v>FF</v>
      </c>
      <c r="E98" t="str">
        <f>"    dt      0x"&amp;D98&amp;",0x"&amp;D99&amp;",0x"&amp;D100&amp;",0x"&amp;D101&amp;",0x"&amp;D102&amp;",0x"&amp;D103&amp;",0x"&amp;D104&amp;",0x"&amp;D105</f>
        <v>    dt      0xFF,0xFF,0xFF,0xFF,0xFF,0xFE,0xFD,0xFC</v>
      </c>
    </row>
    <row r="99" spans="2:4" ht="12.75">
      <c r="B99">
        <v>95</v>
      </c>
      <c r="C99">
        <f t="shared" si="2"/>
        <v>255</v>
      </c>
      <c r="D99" s="234" t="str">
        <f t="shared" si="3"/>
        <v>FF</v>
      </c>
    </row>
    <row r="100" spans="2:5" ht="12.75">
      <c r="B100">
        <v>96</v>
      </c>
      <c r="C100">
        <f t="shared" si="2"/>
        <v>255</v>
      </c>
      <c r="D100" s="234" t="str">
        <f t="shared" si="3"/>
        <v>FF</v>
      </c>
      <c r="E100" t="str">
        <f>"    dt      0x"&amp;D100&amp;",0x"&amp;D101&amp;",0x"&amp;D102&amp;",0x"&amp;D103&amp;",0x"&amp;D104&amp;",0x"&amp;D105&amp;",0x"&amp;D106&amp;",0x"&amp;D107</f>
        <v>    dt      0xFF,0xFF,0xFF,0xFE,0xFD,0xFC,0xFA,0xF8</v>
      </c>
    </row>
    <row r="101" spans="2:4" ht="12.75">
      <c r="B101">
        <v>97</v>
      </c>
      <c r="C101">
        <f t="shared" si="2"/>
        <v>255</v>
      </c>
      <c r="D101" s="234" t="str">
        <f t="shared" si="3"/>
        <v>FF</v>
      </c>
    </row>
    <row r="102" spans="2:4" ht="12.75">
      <c r="B102">
        <v>98</v>
      </c>
      <c r="C102">
        <f t="shared" si="2"/>
        <v>255</v>
      </c>
      <c r="D102" s="234" t="str">
        <f t="shared" si="3"/>
        <v>FF</v>
      </c>
    </row>
    <row r="103" spans="2:4" ht="12.75">
      <c r="B103">
        <v>99</v>
      </c>
      <c r="C103">
        <f t="shared" si="2"/>
        <v>254</v>
      </c>
      <c r="D103" s="234" t="str">
        <f t="shared" si="3"/>
        <v>FE</v>
      </c>
    </row>
    <row r="104" spans="2:4" ht="12.75">
      <c r="B104">
        <v>100</v>
      </c>
      <c r="C104">
        <f t="shared" si="2"/>
        <v>253</v>
      </c>
      <c r="D104" s="234" t="str">
        <f t="shared" si="3"/>
        <v>FD</v>
      </c>
    </row>
    <row r="105" spans="2:4" ht="12.75">
      <c r="B105">
        <v>101</v>
      </c>
      <c r="C105">
        <f t="shared" si="2"/>
        <v>252</v>
      </c>
      <c r="D105" s="234" t="str">
        <f t="shared" si="3"/>
        <v>FC</v>
      </c>
    </row>
    <row r="106" spans="2:5" ht="12.75">
      <c r="B106">
        <v>102</v>
      </c>
      <c r="C106">
        <f t="shared" si="2"/>
        <v>250</v>
      </c>
      <c r="D106" s="234" t="str">
        <f t="shared" si="3"/>
        <v>FA</v>
      </c>
      <c r="E106" t="str">
        <f>"    dt      0x"&amp;D106&amp;",0x"&amp;D107&amp;",0x"&amp;D108&amp;",0x"&amp;D109&amp;",0x"&amp;D110&amp;",0x"&amp;D111&amp;",0x"&amp;D112&amp;",0x"&amp;D113</f>
        <v>    dt      0xFA,0xF8,0xF6,0xF3,0xF1,0xED,0xEA,0xE7</v>
      </c>
    </row>
    <row r="107" spans="2:4" ht="12.75">
      <c r="B107">
        <v>103</v>
      </c>
      <c r="C107">
        <f t="shared" si="2"/>
        <v>248</v>
      </c>
      <c r="D107" s="234" t="str">
        <f t="shared" si="3"/>
        <v>F8</v>
      </c>
    </row>
    <row r="108" spans="2:5" ht="12.75">
      <c r="B108">
        <v>104</v>
      </c>
      <c r="C108">
        <f t="shared" si="2"/>
        <v>246</v>
      </c>
      <c r="D108" s="234" t="str">
        <f t="shared" si="3"/>
        <v>F6</v>
      </c>
      <c r="E108" t="str">
        <f>"    dt      0x"&amp;D108&amp;",0x"&amp;D109&amp;",0x"&amp;D110&amp;",0x"&amp;D111&amp;",0x"&amp;D112&amp;",0x"&amp;D113&amp;",0x"&amp;D114&amp;",0x"&amp;D115</f>
        <v>    dt      0xF6,0xF3,0xF1,0xED,0xEA,0xE7,0xE3,0xDF</v>
      </c>
    </row>
    <row r="109" spans="2:4" ht="12.75">
      <c r="B109">
        <v>105</v>
      </c>
      <c r="C109">
        <f t="shared" si="2"/>
        <v>243</v>
      </c>
      <c r="D109" s="234" t="str">
        <f t="shared" si="3"/>
        <v>F3</v>
      </c>
    </row>
    <row r="110" spans="2:4" ht="12.75">
      <c r="B110">
        <v>106</v>
      </c>
      <c r="C110">
        <f t="shared" si="2"/>
        <v>241</v>
      </c>
      <c r="D110" s="234" t="str">
        <f t="shared" si="3"/>
        <v>F1</v>
      </c>
    </row>
    <row r="111" spans="2:4" ht="12.75">
      <c r="B111">
        <v>107</v>
      </c>
      <c r="C111">
        <f t="shared" si="2"/>
        <v>237</v>
      </c>
      <c r="D111" s="234" t="str">
        <f t="shared" si="3"/>
        <v>ED</v>
      </c>
    </row>
    <row r="112" spans="2:4" ht="12.75">
      <c r="B112">
        <v>108</v>
      </c>
      <c r="C112">
        <f t="shared" si="2"/>
        <v>234</v>
      </c>
      <c r="D112" s="234" t="str">
        <f t="shared" si="3"/>
        <v>EA</v>
      </c>
    </row>
    <row r="113" spans="2:4" ht="12.75">
      <c r="B113">
        <v>109</v>
      </c>
      <c r="C113">
        <f t="shared" si="2"/>
        <v>231</v>
      </c>
      <c r="D113" s="234" t="str">
        <f t="shared" si="3"/>
        <v>E7</v>
      </c>
    </row>
    <row r="114" spans="2:5" ht="12.75">
      <c r="B114">
        <v>110</v>
      </c>
      <c r="C114">
        <f t="shared" si="2"/>
        <v>227</v>
      </c>
      <c r="D114" s="234" t="str">
        <f t="shared" si="3"/>
        <v>E3</v>
      </c>
      <c r="E114" t="str">
        <f>"    dt      0x"&amp;D114&amp;",0x"&amp;D115&amp;",0x"&amp;D116&amp;",0x"&amp;D117&amp;",0x"&amp;D118&amp;",0x"&amp;D119&amp;",0x"&amp;D120&amp;",0x"&amp;D121</f>
        <v>    dt      0xE3,0xDF,0xDA,0xD6,0xD1,0xCC,0xC7,0xC2</v>
      </c>
    </row>
    <row r="115" spans="2:4" ht="12.75">
      <c r="B115">
        <v>111</v>
      </c>
      <c r="C115">
        <f t="shared" si="2"/>
        <v>223</v>
      </c>
      <c r="D115" s="234" t="str">
        <f t="shared" si="3"/>
        <v>DF</v>
      </c>
    </row>
    <row r="116" spans="2:5" ht="12.75">
      <c r="B116">
        <v>112</v>
      </c>
      <c r="C116">
        <f t="shared" si="2"/>
        <v>218</v>
      </c>
      <c r="D116" s="234" t="str">
        <f t="shared" si="3"/>
        <v>DA</v>
      </c>
      <c r="E116" t="str">
        <f>"    dt      0x"&amp;D116&amp;",0x"&amp;D117&amp;",0x"&amp;D118&amp;",0x"&amp;D119&amp;",0x"&amp;D120&amp;",0x"&amp;D121&amp;",0x"&amp;D122&amp;",0x"&amp;D123</f>
        <v>    dt      0xDA,0xD6,0xD1,0xCC,0xC7,0xC2,0xBC,0xB7</v>
      </c>
    </row>
    <row r="117" spans="2:4" ht="12.75">
      <c r="B117">
        <v>113</v>
      </c>
      <c r="C117">
        <f t="shared" si="2"/>
        <v>214</v>
      </c>
      <c r="D117" s="234" t="str">
        <f t="shared" si="3"/>
        <v>D6</v>
      </c>
    </row>
    <row r="118" spans="2:4" ht="12.75">
      <c r="B118">
        <v>114</v>
      </c>
      <c r="C118">
        <f t="shared" si="2"/>
        <v>209</v>
      </c>
      <c r="D118" s="234" t="str">
        <f t="shared" si="3"/>
        <v>D1</v>
      </c>
    </row>
    <row r="119" spans="2:4" ht="12.75">
      <c r="B119">
        <v>115</v>
      </c>
      <c r="C119">
        <f t="shared" si="2"/>
        <v>204</v>
      </c>
      <c r="D119" s="234" t="str">
        <f t="shared" si="3"/>
        <v>CC</v>
      </c>
    </row>
    <row r="120" spans="2:4" ht="12.75">
      <c r="B120">
        <v>116</v>
      </c>
      <c r="C120">
        <f t="shared" si="2"/>
        <v>199</v>
      </c>
      <c r="D120" s="234" t="str">
        <f t="shared" si="3"/>
        <v>C7</v>
      </c>
    </row>
    <row r="121" spans="2:4" ht="12.75">
      <c r="B121">
        <v>117</v>
      </c>
      <c r="C121">
        <f t="shared" si="2"/>
        <v>194</v>
      </c>
      <c r="D121" s="234" t="str">
        <f t="shared" si="3"/>
        <v>C2</v>
      </c>
    </row>
    <row r="122" spans="2:5" ht="12.75">
      <c r="B122">
        <v>118</v>
      </c>
      <c r="C122">
        <f t="shared" si="2"/>
        <v>188</v>
      </c>
      <c r="D122" s="234" t="str">
        <f t="shared" si="3"/>
        <v>BC</v>
      </c>
      <c r="E122" t="str">
        <f>"    dt      0x"&amp;D122&amp;",0x"&amp;D123&amp;",0x"&amp;D124&amp;",0x"&amp;D125&amp;",0x"&amp;D126&amp;",0x"&amp;D127&amp;",0x"&amp;D128&amp;",0x"&amp;D129</f>
        <v>    dt      0xBC,0xB7,0xB1,0xAB,0xA5,0x9F,0x99,0x93</v>
      </c>
    </row>
    <row r="123" spans="2:4" ht="12.75">
      <c r="B123">
        <v>119</v>
      </c>
      <c r="C123">
        <f t="shared" si="2"/>
        <v>183</v>
      </c>
      <c r="D123" s="234" t="str">
        <f t="shared" si="3"/>
        <v>B7</v>
      </c>
    </row>
    <row r="124" spans="2:5" ht="12.75">
      <c r="B124">
        <v>120</v>
      </c>
      <c r="C124">
        <f t="shared" si="2"/>
        <v>177</v>
      </c>
      <c r="D124" s="234" t="str">
        <f t="shared" si="3"/>
        <v>B1</v>
      </c>
      <c r="E124" t="str">
        <f>"    dt      0x"&amp;D124&amp;",0x"&amp;D125&amp;",0x"&amp;D126&amp;",0x"&amp;D127&amp;",0x"&amp;D128&amp;",0x"&amp;D129&amp;",0x"&amp;D130&amp;",0x"&amp;D131</f>
        <v>    dt      0xB1,0xAB,0xA5,0x9F,0x99,0x93,0x8D,0x87</v>
      </c>
    </row>
    <row r="125" spans="2:4" ht="12.75">
      <c r="B125">
        <v>121</v>
      </c>
      <c r="C125">
        <f t="shared" si="2"/>
        <v>171</v>
      </c>
      <c r="D125" s="234" t="str">
        <f t="shared" si="3"/>
        <v>AB</v>
      </c>
    </row>
    <row r="126" spans="2:4" ht="12.75">
      <c r="B126">
        <v>122</v>
      </c>
      <c r="C126">
        <f t="shared" si="2"/>
        <v>165</v>
      </c>
      <c r="D126" s="234" t="str">
        <f t="shared" si="3"/>
        <v>A5</v>
      </c>
    </row>
    <row r="127" spans="2:4" ht="12.75">
      <c r="B127">
        <v>123</v>
      </c>
      <c r="C127">
        <f t="shared" si="2"/>
        <v>159</v>
      </c>
      <c r="D127" s="234" t="str">
        <f t="shared" si="3"/>
        <v>9F</v>
      </c>
    </row>
    <row r="128" spans="2:4" ht="12.75">
      <c r="B128">
        <v>124</v>
      </c>
      <c r="C128">
        <f t="shared" si="2"/>
        <v>153</v>
      </c>
      <c r="D128" s="234" t="str">
        <f t="shared" si="3"/>
        <v>99</v>
      </c>
    </row>
    <row r="129" spans="2:4" ht="12.75">
      <c r="B129">
        <v>125</v>
      </c>
      <c r="C129">
        <f t="shared" si="2"/>
        <v>147</v>
      </c>
      <c r="D129" s="234" t="str">
        <f t="shared" si="3"/>
        <v>93</v>
      </c>
    </row>
    <row r="130" spans="2:5" ht="12.75">
      <c r="B130">
        <v>126</v>
      </c>
      <c r="C130">
        <f t="shared" si="2"/>
        <v>141</v>
      </c>
      <c r="D130" s="234" t="str">
        <f t="shared" si="3"/>
        <v>8D</v>
      </c>
      <c r="E130" t="str">
        <f>"    dt      0x"&amp;D130&amp;",0x"&amp;D131&amp;",0x"&amp;D132&amp;",0x"&amp;D133&amp;",0x"&amp;D134&amp;",0x"&amp;D135&amp;",0x"&amp;D136&amp;",0x"&amp;D137</f>
        <v>    dt      0x8D,0x87,0x81,0x7A,0x74,0x6E,0x68,0x62</v>
      </c>
    </row>
    <row r="131" spans="2:4" ht="12.75">
      <c r="B131">
        <v>127</v>
      </c>
      <c r="C131">
        <f t="shared" si="2"/>
        <v>135</v>
      </c>
      <c r="D131" s="234" t="str">
        <f t="shared" si="3"/>
        <v>87</v>
      </c>
    </row>
    <row r="132" spans="2:5" ht="12.75">
      <c r="B132">
        <v>128</v>
      </c>
      <c r="C132">
        <f aca="true" t="shared" si="4" ref="C132:C195">128-INT(127*SIN(nb_sinusoides*2*PI()*B132/256))</f>
        <v>129</v>
      </c>
      <c r="D132" s="234" t="str">
        <f t="shared" si="3"/>
        <v>81</v>
      </c>
      <c r="E132" t="str">
        <f>"    dt      0x"&amp;D132&amp;",0x"&amp;D133&amp;",0x"&amp;D134&amp;",0x"&amp;D135&amp;",0x"&amp;D136&amp;",0x"&amp;D137&amp;",0x"&amp;D138&amp;",0x"&amp;D139</f>
        <v>    dt      0x81,0x7A,0x74,0x6E,0x68,0x62,0x5C,0x56</v>
      </c>
    </row>
    <row r="133" spans="2:4" ht="12.75">
      <c r="B133">
        <v>129</v>
      </c>
      <c r="C133">
        <f t="shared" si="4"/>
        <v>122</v>
      </c>
      <c r="D133" s="234" t="str">
        <f aca="true" t="shared" si="5" ref="D133:D196">IF(C133&gt;=0,(INDEX(zone1,INT(C133/16)+1,2)&amp;INDEX(zone1,C133-INT(C133/16)*16+1,2)),INDEX(zone1,INT((256+C133)/16)+1,2)&amp;INDEX(zone1,(256+C133)-INT((256+C133)/16)*16+1,2))</f>
        <v>7A</v>
      </c>
    </row>
    <row r="134" spans="2:4" ht="12.75">
      <c r="B134">
        <v>130</v>
      </c>
      <c r="C134">
        <f t="shared" si="4"/>
        <v>116</v>
      </c>
      <c r="D134" s="234" t="str">
        <f t="shared" si="5"/>
        <v>74</v>
      </c>
    </row>
    <row r="135" spans="2:4" ht="12.75">
      <c r="B135">
        <v>131</v>
      </c>
      <c r="C135">
        <f t="shared" si="4"/>
        <v>110</v>
      </c>
      <c r="D135" s="234" t="str">
        <f t="shared" si="5"/>
        <v>6E</v>
      </c>
    </row>
    <row r="136" spans="2:4" ht="12.75">
      <c r="B136">
        <v>132</v>
      </c>
      <c r="C136">
        <f t="shared" si="4"/>
        <v>104</v>
      </c>
      <c r="D136" s="234" t="str">
        <f t="shared" si="5"/>
        <v>68</v>
      </c>
    </row>
    <row r="137" spans="2:4" ht="12.75">
      <c r="B137">
        <v>133</v>
      </c>
      <c r="C137">
        <f t="shared" si="4"/>
        <v>98</v>
      </c>
      <c r="D137" s="234" t="str">
        <f t="shared" si="5"/>
        <v>62</v>
      </c>
    </row>
    <row r="138" spans="2:5" ht="12.75">
      <c r="B138">
        <v>134</v>
      </c>
      <c r="C138">
        <f t="shared" si="4"/>
        <v>92</v>
      </c>
      <c r="D138" s="234" t="str">
        <f t="shared" si="5"/>
        <v>5C</v>
      </c>
      <c r="E138" t="str">
        <f>"    dt      0x"&amp;D138&amp;",0x"&amp;D139&amp;",0x"&amp;D140&amp;",0x"&amp;D141&amp;",0x"&amp;D142&amp;",0x"&amp;D143&amp;",0x"&amp;D144&amp;",0x"&amp;D145</f>
        <v>    dt      0x5C,0x56,0x50,0x4A,0x45,0x3F,0x3A,0x35</v>
      </c>
    </row>
    <row r="139" spans="2:4" ht="12.75">
      <c r="B139">
        <v>135</v>
      </c>
      <c r="C139">
        <f t="shared" si="4"/>
        <v>86</v>
      </c>
      <c r="D139" s="234" t="str">
        <f t="shared" si="5"/>
        <v>56</v>
      </c>
    </row>
    <row r="140" spans="2:5" ht="12.75">
      <c r="B140">
        <v>136</v>
      </c>
      <c r="C140">
        <f t="shared" si="4"/>
        <v>80</v>
      </c>
      <c r="D140" s="234" t="str">
        <f t="shared" si="5"/>
        <v>50</v>
      </c>
      <c r="E140" t="str">
        <f>"    dt      0x"&amp;D140&amp;",0x"&amp;D141&amp;",0x"&amp;D142&amp;",0x"&amp;D143&amp;",0x"&amp;D144&amp;",0x"&amp;D145&amp;",0x"&amp;D146&amp;",0x"&amp;D147</f>
        <v>    dt      0x50,0x4A,0x45,0x3F,0x3A,0x35,0x30,0x2B</v>
      </c>
    </row>
    <row r="141" spans="2:4" ht="12.75">
      <c r="B141">
        <v>137</v>
      </c>
      <c r="C141">
        <f t="shared" si="4"/>
        <v>74</v>
      </c>
      <c r="D141" s="234" t="str">
        <f t="shared" si="5"/>
        <v>4A</v>
      </c>
    </row>
    <row r="142" spans="2:4" ht="12.75">
      <c r="B142">
        <v>138</v>
      </c>
      <c r="C142">
        <f t="shared" si="4"/>
        <v>69</v>
      </c>
      <c r="D142" s="234" t="str">
        <f t="shared" si="5"/>
        <v>45</v>
      </c>
    </row>
    <row r="143" spans="2:4" ht="12.75">
      <c r="B143">
        <v>139</v>
      </c>
      <c r="C143">
        <f t="shared" si="4"/>
        <v>63</v>
      </c>
      <c r="D143" s="234" t="str">
        <f t="shared" si="5"/>
        <v>3F</v>
      </c>
    </row>
    <row r="144" spans="2:4" ht="12.75">
      <c r="B144">
        <v>140</v>
      </c>
      <c r="C144">
        <f t="shared" si="4"/>
        <v>58</v>
      </c>
      <c r="D144" s="234" t="str">
        <f t="shared" si="5"/>
        <v>3A</v>
      </c>
    </row>
    <row r="145" spans="2:4" ht="12.75">
      <c r="B145">
        <v>141</v>
      </c>
      <c r="C145">
        <f t="shared" si="4"/>
        <v>53</v>
      </c>
      <c r="D145" s="234" t="str">
        <f t="shared" si="5"/>
        <v>35</v>
      </c>
    </row>
    <row r="146" spans="2:5" ht="12.75">
      <c r="B146">
        <v>142</v>
      </c>
      <c r="C146">
        <f t="shared" si="4"/>
        <v>48</v>
      </c>
      <c r="D146" s="234" t="str">
        <f t="shared" si="5"/>
        <v>30</v>
      </c>
      <c r="E146" t="str">
        <f>"    dt      0x"&amp;D146&amp;",0x"&amp;D147&amp;",0x"&amp;D148&amp;",0x"&amp;D149&amp;",0x"&amp;D150&amp;",0x"&amp;D151&amp;",0x"&amp;D152&amp;",0x"&amp;D153</f>
        <v>    dt      0x30,0x2B,0x27,0x22,0x1E,0x1A,0x17,0x14</v>
      </c>
    </row>
    <row r="147" spans="2:4" ht="12.75">
      <c r="B147">
        <v>143</v>
      </c>
      <c r="C147">
        <f t="shared" si="4"/>
        <v>43</v>
      </c>
      <c r="D147" s="234" t="str">
        <f t="shared" si="5"/>
        <v>2B</v>
      </c>
    </row>
    <row r="148" spans="2:5" ht="12.75">
      <c r="B148">
        <v>144</v>
      </c>
      <c r="C148">
        <f t="shared" si="4"/>
        <v>39</v>
      </c>
      <c r="D148" s="234" t="str">
        <f t="shared" si="5"/>
        <v>27</v>
      </c>
      <c r="E148" t="str">
        <f>"    dt      0x"&amp;D148&amp;",0x"&amp;D149&amp;",0x"&amp;D150&amp;",0x"&amp;D151&amp;",0x"&amp;D152&amp;",0x"&amp;D153&amp;",0x"&amp;D154&amp;",0x"&amp;D155</f>
        <v>    dt      0x27,0x22,0x1E,0x1A,0x17,0x14,0x10,0x0E</v>
      </c>
    </row>
    <row r="149" spans="2:4" ht="12.75">
      <c r="B149">
        <v>145</v>
      </c>
      <c r="C149">
        <f t="shared" si="4"/>
        <v>34</v>
      </c>
      <c r="D149" s="234" t="str">
        <f t="shared" si="5"/>
        <v>22</v>
      </c>
    </row>
    <row r="150" spans="2:4" ht="12.75">
      <c r="B150">
        <v>146</v>
      </c>
      <c r="C150">
        <f t="shared" si="4"/>
        <v>30</v>
      </c>
      <c r="D150" s="234" t="str">
        <f t="shared" si="5"/>
        <v>1E</v>
      </c>
    </row>
    <row r="151" spans="2:4" ht="12.75">
      <c r="B151">
        <v>147</v>
      </c>
      <c r="C151">
        <f t="shared" si="4"/>
        <v>26</v>
      </c>
      <c r="D151" s="234" t="str">
        <f t="shared" si="5"/>
        <v>1A</v>
      </c>
    </row>
    <row r="152" spans="2:4" ht="12.75">
      <c r="B152">
        <v>148</v>
      </c>
      <c r="C152">
        <f t="shared" si="4"/>
        <v>23</v>
      </c>
      <c r="D152" s="234" t="str">
        <f t="shared" si="5"/>
        <v>17</v>
      </c>
    </row>
    <row r="153" spans="2:4" ht="12.75">
      <c r="B153">
        <v>149</v>
      </c>
      <c r="C153">
        <f t="shared" si="4"/>
        <v>20</v>
      </c>
      <c r="D153" s="234" t="str">
        <f t="shared" si="5"/>
        <v>14</v>
      </c>
    </row>
    <row r="154" spans="2:5" ht="12.75">
      <c r="B154">
        <v>150</v>
      </c>
      <c r="C154">
        <f t="shared" si="4"/>
        <v>16</v>
      </c>
      <c r="D154" s="234" t="str">
        <f t="shared" si="5"/>
        <v>10</v>
      </c>
      <c r="E154" t="str">
        <f>"    dt      0x"&amp;D154&amp;",0x"&amp;D155&amp;",0x"&amp;D156&amp;",0x"&amp;D157&amp;",0x"&amp;D158&amp;",0x"&amp;D159&amp;",0x"&amp;D160&amp;",0x"&amp;D161</f>
        <v>    dt      0x10,0x0E,0x0B,0x09,0x07,0x05,0x04,0x03</v>
      </c>
    </row>
    <row r="155" spans="2:4" ht="12.75">
      <c r="B155">
        <v>151</v>
      </c>
      <c r="C155">
        <f t="shared" si="4"/>
        <v>14</v>
      </c>
      <c r="D155" s="234" t="str">
        <f t="shared" si="5"/>
        <v>0E</v>
      </c>
    </row>
    <row r="156" spans="2:5" ht="12.75">
      <c r="B156">
        <v>152</v>
      </c>
      <c r="C156">
        <f t="shared" si="4"/>
        <v>11</v>
      </c>
      <c r="D156" s="234" t="str">
        <f t="shared" si="5"/>
        <v>0B</v>
      </c>
      <c r="E156" t="str">
        <f>"    dt      0x"&amp;D156&amp;",0x"&amp;D157&amp;",0x"&amp;D158&amp;",0x"&amp;D159&amp;",0x"&amp;D160&amp;",0x"&amp;D161&amp;",0x"&amp;D162&amp;",0x"&amp;D163</f>
        <v>    dt      0x0B,0x09,0x07,0x05,0x04,0x03,0x02,0x02</v>
      </c>
    </row>
    <row r="157" spans="2:4" ht="12.75">
      <c r="B157">
        <v>153</v>
      </c>
      <c r="C157">
        <f t="shared" si="4"/>
        <v>9</v>
      </c>
      <c r="D157" s="234" t="str">
        <f t="shared" si="5"/>
        <v>09</v>
      </c>
    </row>
    <row r="158" spans="2:4" ht="12.75">
      <c r="B158">
        <v>154</v>
      </c>
      <c r="C158">
        <f t="shared" si="4"/>
        <v>7</v>
      </c>
      <c r="D158" s="234" t="str">
        <f t="shared" si="5"/>
        <v>07</v>
      </c>
    </row>
    <row r="159" spans="2:4" ht="12.75">
      <c r="B159">
        <v>155</v>
      </c>
      <c r="C159">
        <f t="shared" si="4"/>
        <v>5</v>
      </c>
      <c r="D159" s="234" t="str">
        <f t="shared" si="5"/>
        <v>05</v>
      </c>
    </row>
    <row r="160" spans="2:4" ht="12.75">
      <c r="B160">
        <v>156</v>
      </c>
      <c r="C160">
        <f t="shared" si="4"/>
        <v>4</v>
      </c>
      <c r="D160" s="234" t="str">
        <f t="shared" si="5"/>
        <v>04</v>
      </c>
    </row>
    <row r="161" spans="2:4" ht="12.75">
      <c r="B161">
        <v>157</v>
      </c>
      <c r="C161">
        <f t="shared" si="4"/>
        <v>3</v>
      </c>
      <c r="D161" s="234" t="str">
        <f t="shared" si="5"/>
        <v>03</v>
      </c>
    </row>
    <row r="162" spans="2:5" ht="12.75">
      <c r="B162">
        <v>158</v>
      </c>
      <c r="C162">
        <f t="shared" si="4"/>
        <v>2</v>
      </c>
      <c r="D162" s="234" t="str">
        <f t="shared" si="5"/>
        <v>02</v>
      </c>
      <c r="E162" t="str">
        <f>"    dt      0x"&amp;D162&amp;",0x"&amp;D163&amp;",0x"&amp;D164&amp;",0x"&amp;D165&amp;",0x"&amp;D166&amp;",0x"&amp;D167&amp;",0x"&amp;D168&amp;",0x"&amp;D169</f>
        <v>    dt      0x02,0x02,0x01,0x02,0x02,0x03,0x04,0x05</v>
      </c>
    </row>
    <row r="163" spans="2:4" ht="12.75">
      <c r="B163">
        <v>159</v>
      </c>
      <c r="C163">
        <f t="shared" si="4"/>
        <v>2</v>
      </c>
      <c r="D163" s="234" t="str">
        <f t="shared" si="5"/>
        <v>02</v>
      </c>
    </row>
    <row r="164" spans="2:5" ht="12.75">
      <c r="B164">
        <v>160</v>
      </c>
      <c r="C164">
        <f t="shared" si="4"/>
        <v>1</v>
      </c>
      <c r="D164" s="234" t="str">
        <f t="shared" si="5"/>
        <v>01</v>
      </c>
      <c r="E164" t="str">
        <f>"    dt      0x"&amp;D164&amp;",0x"&amp;D165&amp;",0x"&amp;D166&amp;",0x"&amp;D167&amp;",0x"&amp;D168&amp;",0x"&amp;D169&amp;",0x"&amp;D170&amp;",0x"&amp;D171</f>
        <v>    dt      0x01,0x02,0x02,0x03,0x04,0x05,0x07,0x09</v>
      </c>
    </row>
    <row r="165" spans="2:4" ht="12.75">
      <c r="B165">
        <v>161</v>
      </c>
      <c r="C165">
        <f t="shared" si="4"/>
        <v>2</v>
      </c>
      <c r="D165" s="234" t="str">
        <f t="shared" si="5"/>
        <v>02</v>
      </c>
    </row>
    <row r="166" spans="2:4" ht="12.75">
      <c r="B166">
        <v>162</v>
      </c>
      <c r="C166">
        <f t="shared" si="4"/>
        <v>2</v>
      </c>
      <c r="D166" s="234" t="str">
        <f t="shared" si="5"/>
        <v>02</v>
      </c>
    </row>
    <row r="167" spans="2:4" ht="12.75">
      <c r="B167">
        <v>163</v>
      </c>
      <c r="C167">
        <f t="shared" si="4"/>
        <v>3</v>
      </c>
      <c r="D167" s="234" t="str">
        <f t="shared" si="5"/>
        <v>03</v>
      </c>
    </row>
    <row r="168" spans="2:4" ht="12.75">
      <c r="B168">
        <v>164</v>
      </c>
      <c r="C168">
        <f t="shared" si="4"/>
        <v>4</v>
      </c>
      <c r="D168" s="234" t="str">
        <f t="shared" si="5"/>
        <v>04</v>
      </c>
    </row>
    <row r="169" spans="2:4" ht="12.75">
      <c r="B169">
        <v>165</v>
      </c>
      <c r="C169">
        <f t="shared" si="4"/>
        <v>5</v>
      </c>
      <c r="D169" s="234" t="str">
        <f t="shared" si="5"/>
        <v>05</v>
      </c>
    </row>
    <row r="170" spans="2:5" ht="12.75">
      <c r="B170">
        <v>166</v>
      </c>
      <c r="C170">
        <f t="shared" si="4"/>
        <v>7</v>
      </c>
      <c r="D170" s="234" t="str">
        <f t="shared" si="5"/>
        <v>07</v>
      </c>
      <c r="E170" t="str">
        <f>"    dt      0x"&amp;D170&amp;",0x"&amp;D171&amp;",0x"&amp;D172&amp;",0x"&amp;D173&amp;",0x"&amp;D174&amp;",0x"&amp;D175&amp;",0x"&amp;D176&amp;",0x"&amp;D177</f>
        <v>    dt      0x07,0x09,0x0B,0x0E,0x10,0x14,0x17,0x1A</v>
      </c>
    </row>
    <row r="171" spans="2:4" ht="12.75">
      <c r="B171">
        <v>167</v>
      </c>
      <c r="C171">
        <f t="shared" si="4"/>
        <v>9</v>
      </c>
      <c r="D171" s="234" t="str">
        <f t="shared" si="5"/>
        <v>09</v>
      </c>
    </row>
    <row r="172" spans="2:5" ht="12.75">
      <c r="B172">
        <v>168</v>
      </c>
      <c r="C172">
        <f t="shared" si="4"/>
        <v>11</v>
      </c>
      <c r="D172" s="234" t="str">
        <f t="shared" si="5"/>
        <v>0B</v>
      </c>
      <c r="E172" t="str">
        <f>"    dt      0x"&amp;D172&amp;",0x"&amp;D173&amp;",0x"&amp;D174&amp;",0x"&amp;D175&amp;",0x"&amp;D176&amp;",0x"&amp;D177&amp;",0x"&amp;D178&amp;",0x"&amp;D179</f>
        <v>    dt      0x0B,0x0E,0x10,0x14,0x17,0x1A,0x1E,0x22</v>
      </c>
    </row>
    <row r="173" spans="2:4" ht="12.75">
      <c r="B173">
        <v>169</v>
      </c>
      <c r="C173">
        <f t="shared" si="4"/>
        <v>14</v>
      </c>
      <c r="D173" s="234" t="str">
        <f t="shared" si="5"/>
        <v>0E</v>
      </c>
    </row>
    <row r="174" spans="2:4" ht="12.75">
      <c r="B174">
        <v>170</v>
      </c>
      <c r="C174">
        <f t="shared" si="4"/>
        <v>16</v>
      </c>
      <c r="D174" s="234" t="str">
        <f t="shared" si="5"/>
        <v>10</v>
      </c>
    </row>
    <row r="175" spans="2:4" ht="12.75">
      <c r="B175">
        <v>171</v>
      </c>
      <c r="C175">
        <f t="shared" si="4"/>
        <v>20</v>
      </c>
      <c r="D175" s="234" t="str">
        <f t="shared" si="5"/>
        <v>14</v>
      </c>
    </row>
    <row r="176" spans="2:4" ht="12.75">
      <c r="B176">
        <v>172</v>
      </c>
      <c r="C176">
        <f t="shared" si="4"/>
        <v>23</v>
      </c>
      <c r="D176" s="234" t="str">
        <f t="shared" si="5"/>
        <v>17</v>
      </c>
    </row>
    <row r="177" spans="2:4" ht="12.75">
      <c r="B177">
        <v>173</v>
      </c>
      <c r="C177">
        <f t="shared" si="4"/>
        <v>26</v>
      </c>
      <c r="D177" s="234" t="str">
        <f t="shared" si="5"/>
        <v>1A</v>
      </c>
    </row>
    <row r="178" spans="2:5" ht="12.75">
      <c r="B178">
        <v>174</v>
      </c>
      <c r="C178">
        <f t="shared" si="4"/>
        <v>30</v>
      </c>
      <c r="D178" s="234" t="str">
        <f t="shared" si="5"/>
        <v>1E</v>
      </c>
      <c r="E178" t="str">
        <f>"    dt      0x"&amp;D178&amp;",0x"&amp;D179&amp;",0x"&amp;D180&amp;",0x"&amp;D181&amp;",0x"&amp;D182&amp;",0x"&amp;D183&amp;",0x"&amp;D184&amp;",0x"&amp;D185</f>
        <v>    dt      0x1E,0x22,0x27,0x2B,0x30,0x35,0x3A,0x3F</v>
      </c>
    </row>
    <row r="179" spans="2:4" ht="12.75">
      <c r="B179">
        <v>175</v>
      </c>
      <c r="C179">
        <f t="shared" si="4"/>
        <v>34</v>
      </c>
      <c r="D179" s="234" t="str">
        <f t="shared" si="5"/>
        <v>22</v>
      </c>
    </row>
    <row r="180" spans="2:5" ht="12.75">
      <c r="B180">
        <v>176</v>
      </c>
      <c r="C180">
        <f t="shared" si="4"/>
        <v>39</v>
      </c>
      <c r="D180" s="234" t="str">
        <f t="shared" si="5"/>
        <v>27</v>
      </c>
      <c r="E180" t="str">
        <f>"    dt      0x"&amp;D180&amp;",0x"&amp;D181&amp;",0x"&amp;D182&amp;",0x"&amp;D183&amp;",0x"&amp;D184&amp;",0x"&amp;D185&amp;",0x"&amp;D186&amp;",0x"&amp;D187</f>
        <v>    dt      0x27,0x2B,0x30,0x35,0x3A,0x3F,0x45,0x4A</v>
      </c>
    </row>
    <row r="181" spans="2:4" ht="12.75">
      <c r="B181">
        <v>177</v>
      </c>
      <c r="C181">
        <f t="shared" si="4"/>
        <v>43</v>
      </c>
      <c r="D181" s="234" t="str">
        <f t="shared" si="5"/>
        <v>2B</v>
      </c>
    </row>
    <row r="182" spans="2:4" ht="12.75">
      <c r="B182">
        <v>178</v>
      </c>
      <c r="C182">
        <f t="shared" si="4"/>
        <v>48</v>
      </c>
      <c r="D182" s="234" t="str">
        <f t="shared" si="5"/>
        <v>30</v>
      </c>
    </row>
    <row r="183" spans="2:4" ht="12.75">
      <c r="B183">
        <v>179</v>
      </c>
      <c r="C183">
        <f t="shared" si="4"/>
        <v>53</v>
      </c>
      <c r="D183" s="234" t="str">
        <f t="shared" si="5"/>
        <v>35</v>
      </c>
    </row>
    <row r="184" spans="2:4" ht="12.75">
      <c r="B184">
        <v>180</v>
      </c>
      <c r="C184">
        <f t="shared" si="4"/>
        <v>58</v>
      </c>
      <c r="D184" s="234" t="str">
        <f t="shared" si="5"/>
        <v>3A</v>
      </c>
    </row>
    <row r="185" spans="2:4" ht="12.75">
      <c r="B185">
        <v>181</v>
      </c>
      <c r="C185">
        <f t="shared" si="4"/>
        <v>63</v>
      </c>
      <c r="D185" s="234" t="str">
        <f t="shared" si="5"/>
        <v>3F</v>
      </c>
    </row>
    <row r="186" spans="2:5" ht="12.75">
      <c r="B186">
        <v>182</v>
      </c>
      <c r="C186">
        <f t="shared" si="4"/>
        <v>69</v>
      </c>
      <c r="D186" s="234" t="str">
        <f t="shared" si="5"/>
        <v>45</v>
      </c>
      <c r="E186" t="str">
        <f>"    dt      0x"&amp;D186&amp;",0x"&amp;D187&amp;",0x"&amp;D188&amp;",0x"&amp;D189&amp;",0x"&amp;D190&amp;",0x"&amp;D191&amp;",0x"&amp;D192&amp;",0x"&amp;D193</f>
        <v>    dt      0x45,0x4A,0x50,0x56,0x5C,0x62,0x68,0x6E</v>
      </c>
    </row>
    <row r="187" spans="2:4" ht="12.75">
      <c r="B187">
        <v>183</v>
      </c>
      <c r="C187">
        <f t="shared" si="4"/>
        <v>74</v>
      </c>
      <c r="D187" s="234" t="str">
        <f t="shared" si="5"/>
        <v>4A</v>
      </c>
    </row>
    <row r="188" spans="2:5" ht="12.75">
      <c r="B188">
        <v>184</v>
      </c>
      <c r="C188">
        <f t="shared" si="4"/>
        <v>80</v>
      </c>
      <c r="D188" s="234" t="str">
        <f t="shared" si="5"/>
        <v>50</v>
      </c>
      <c r="E188" t="str">
        <f>"    dt      0x"&amp;D188&amp;",0x"&amp;D189&amp;",0x"&amp;D190&amp;",0x"&amp;D191&amp;",0x"&amp;D192&amp;",0x"&amp;D193&amp;",0x"&amp;D194&amp;",0x"&amp;D195</f>
        <v>    dt      0x50,0x56,0x5C,0x62,0x68,0x6E,0x74,0x7A</v>
      </c>
    </row>
    <row r="189" spans="2:4" ht="12.75">
      <c r="B189">
        <v>185</v>
      </c>
      <c r="C189">
        <f t="shared" si="4"/>
        <v>86</v>
      </c>
      <c r="D189" s="234" t="str">
        <f t="shared" si="5"/>
        <v>56</v>
      </c>
    </row>
    <row r="190" spans="2:4" ht="12.75">
      <c r="B190">
        <v>186</v>
      </c>
      <c r="C190">
        <f t="shared" si="4"/>
        <v>92</v>
      </c>
      <c r="D190" s="234" t="str">
        <f t="shared" si="5"/>
        <v>5C</v>
      </c>
    </row>
    <row r="191" spans="2:4" ht="12.75">
      <c r="B191">
        <v>187</v>
      </c>
      <c r="C191">
        <f t="shared" si="4"/>
        <v>98</v>
      </c>
      <c r="D191" s="234" t="str">
        <f t="shared" si="5"/>
        <v>62</v>
      </c>
    </row>
    <row r="192" spans="2:4" ht="12.75">
      <c r="B192">
        <v>188</v>
      </c>
      <c r="C192">
        <f t="shared" si="4"/>
        <v>104</v>
      </c>
      <c r="D192" s="234" t="str">
        <f t="shared" si="5"/>
        <v>68</v>
      </c>
    </row>
    <row r="193" spans="2:4" ht="12.75">
      <c r="B193">
        <v>189</v>
      </c>
      <c r="C193">
        <f t="shared" si="4"/>
        <v>110</v>
      </c>
      <c r="D193" s="234" t="str">
        <f t="shared" si="5"/>
        <v>6E</v>
      </c>
    </row>
    <row r="194" spans="2:5" ht="12.75">
      <c r="B194">
        <v>190</v>
      </c>
      <c r="C194">
        <f t="shared" si="4"/>
        <v>116</v>
      </c>
      <c r="D194" s="234" t="str">
        <f t="shared" si="5"/>
        <v>74</v>
      </c>
      <c r="E194" t="str">
        <f>"    dt      0x"&amp;D194&amp;",0x"&amp;D195&amp;",0x"&amp;D196&amp;",0x"&amp;D197&amp;",0x"&amp;D198&amp;",0x"&amp;D199&amp;",0x"&amp;D200&amp;",0x"&amp;D201</f>
        <v>    dt      0x74,0x7A,0x80,0x87,0x8D,0x93,0x99,0x9F</v>
      </c>
    </row>
    <row r="195" spans="2:4" ht="12.75">
      <c r="B195">
        <v>191</v>
      </c>
      <c r="C195">
        <f t="shared" si="4"/>
        <v>122</v>
      </c>
      <c r="D195" s="234" t="str">
        <f t="shared" si="5"/>
        <v>7A</v>
      </c>
    </row>
    <row r="196" spans="2:5" ht="12.75">
      <c r="B196">
        <v>192</v>
      </c>
      <c r="C196">
        <f aca="true" t="shared" si="6" ref="C196:C259">128-INT(127*SIN(nb_sinusoides*2*PI()*B196/256))</f>
        <v>128</v>
      </c>
      <c r="D196" s="234" t="str">
        <f t="shared" si="5"/>
        <v>80</v>
      </c>
      <c r="E196" t="str">
        <f>"    dt      0x"&amp;D196&amp;",0x"&amp;D197&amp;",0x"&amp;D198&amp;",0x"&amp;D199&amp;",0x"&amp;D200&amp;",0x"&amp;D201&amp;",0x"&amp;D202&amp;",0x"&amp;D203</f>
        <v>    dt      0x80,0x87,0x8D,0x93,0x99,0x9F,0xA5,0xAB</v>
      </c>
    </row>
    <row r="197" spans="2:4" ht="12.75">
      <c r="B197">
        <v>193</v>
      </c>
      <c r="C197">
        <f t="shared" si="6"/>
        <v>135</v>
      </c>
      <c r="D197" s="234" t="str">
        <f aca="true" t="shared" si="7" ref="D197:D259">IF(C197&gt;=0,(INDEX(zone1,INT(C197/16)+1,2)&amp;INDEX(zone1,C197-INT(C197/16)*16+1,2)),INDEX(zone1,INT((256+C197)/16)+1,2)&amp;INDEX(zone1,(256+C197)-INT((256+C197)/16)*16+1,2))</f>
        <v>87</v>
      </c>
    </row>
    <row r="198" spans="2:4" ht="12.75">
      <c r="B198">
        <v>194</v>
      </c>
      <c r="C198">
        <f t="shared" si="6"/>
        <v>141</v>
      </c>
      <c r="D198" s="234" t="str">
        <f t="shared" si="7"/>
        <v>8D</v>
      </c>
    </row>
    <row r="199" spans="2:4" ht="12.75">
      <c r="B199">
        <v>195</v>
      </c>
      <c r="C199">
        <f t="shared" si="6"/>
        <v>147</v>
      </c>
      <c r="D199" s="234" t="str">
        <f t="shared" si="7"/>
        <v>93</v>
      </c>
    </row>
    <row r="200" spans="2:4" ht="12.75">
      <c r="B200">
        <v>196</v>
      </c>
      <c r="C200">
        <f t="shared" si="6"/>
        <v>153</v>
      </c>
      <c r="D200" s="234" t="str">
        <f t="shared" si="7"/>
        <v>99</v>
      </c>
    </row>
    <row r="201" spans="2:4" ht="12.75">
      <c r="B201">
        <v>197</v>
      </c>
      <c r="C201">
        <f t="shared" si="6"/>
        <v>159</v>
      </c>
      <c r="D201" s="234" t="str">
        <f t="shared" si="7"/>
        <v>9F</v>
      </c>
    </row>
    <row r="202" spans="2:5" ht="12.75">
      <c r="B202">
        <v>198</v>
      </c>
      <c r="C202">
        <f t="shared" si="6"/>
        <v>165</v>
      </c>
      <c r="D202" s="234" t="str">
        <f t="shared" si="7"/>
        <v>A5</v>
      </c>
      <c r="E202" t="str">
        <f>"    dt      0x"&amp;D202&amp;",0x"&amp;D203&amp;",0x"&amp;D204&amp;",0x"&amp;D205&amp;",0x"&amp;D206&amp;",0x"&amp;D207&amp;",0x"&amp;D208&amp;",0x"&amp;D209</f>
        <v>    dt      0xA5,0xAB,0xB1,0xB7,0xBC,0xC2,0xC7,0xCC</v>
      </c>
    </row>
    <row r="203" spans="2:4" ht="12.75">
      <c r="B203">
        <v>199</v>
      </c>
      <c r="C203">
        <f t="shared" si="6"/>
        <v>171</v>
      </c>
      <c r="D203" s="234" t="str">
        <f t="shared" si="7"/>
        <v>AB</v>
      </c>
    </row>
    <row r="204" spans="2:5" ht="12.75">
      <c r="B204">
        <v>200</v>
      </c>
      <c r="C204">
        <f t="shared" si="6"/>
        <v>177</v>
      </c>
      <c r="D204" s="234" t="str">
        <f t="shared" si="7"/>
        <v>B1</v>
      </c>
      <c r="E204" t="str">
        <f>"    dt      0x"&amp;D204&amp;",0x"&amp;D205&amp;",0x"&amp;D206&amp;",0x"&amp;D207&amp;",0x"&amp;D208&amp;",0x"&amp;D209&amp;",0x"&amp;D210&amp;",0x"&amp;D211</f>
        <v>    dt      0xB1,0xB7,0xBC,0xC2,0xC7,0xCC,0xD1,0xD6</v>
      </c>
    </row>
    <row r="205" spans="2:4" ht="12.75">
      <c r="B205">
        <v>201</v>
      </c>
      <c r="C205">
        <f t="shared" si="6"/>
        <v>183</v>
      </c>
      <c r="D205" s="234" t="str">
        <f t="shared" si="7"/>
        <v>B7</v>
      </c>
    </row>
    <row r="206" spans="2:4" ht="12.75">
      <c r="B206">
        <v>202</v>
      </c>
      <c r="C206">
        <f t="shared" si="6"/>
        <v>188</v>
      </c>
      <c r="D206" s="234" t="str">
        <f t="shared" si="7"/>
        <v>BC</v>
      </c>
    </row>
    <row r="207" spans="2:4" ht="12.75">
      <c r="B207">
        <v>203</v>
      </c>
      <c r="C207">
        <f t="shared" si="6"/>
        <v>194</v>
      </c>
      <c r="D207" s="234" t="str">
        <f t="shared" si="7"/>
        <v>C2</v>
      </c>
    </row>
    <row r="208" spans="2:4" ht="12.75">
      <c r="B208">
        <v>204</v>
      </c>
      <c r="C208">
        <f t="shared" si="6"/>
        <v>199</v>
      </c>
      <c r="D208" s="234" t="str">
        <f t="shared" si="7"/>
        <v>C7</v>
      </c>
    </row>
    <row r="209" spans="2:4" ht="12.75">
      <c r="B209">
        <v>205</v>
      </c>
      <c r="C209">
        <f t="shared" si="6"/>
        <v>204</v>
      </c>
      <c r="D209" s="234" t="str">
        <f t="shared" si="7"/>
        <v>CC</v>
      </c>
    </row>
    <row r="210" spans="2:5" ht="12.75">
      <c r="B210">
        <v>206</v>
      </c>
      <c r="C210">
        <f t="shared" si="6"/>
        <v>209</v>
      </c>
      <c r="D210" s="234" t="str">
        <f t="shared" si="7"/>
        <v>D1</v>
      </c>
      <c r="E210" t="str">
        <f>"    dt      0x"&amp;D210&amp;",0x"&amp;D211&amp;",0x"&amp;D212&amp;",0x"&amp;D213&amp;",0x"&amp;D214&amp;",0x"&amp;D215&amp;",0x"&amp;D216&amp;",0x"&amp;D217</f>
        <v>    dt      0xD1,0xD6,0xDA,0xDF,0xE3,0xE7,0xEA,0xED</v>
      </c>
    </row>
    <row r="211" spans="2:4" ht="12.75">
      <c r="B211">
        <v>207</v>
      </c>
      <c r="C211">
        <f t="shared" si="6"/>
        <v>214</v>
      </c>
      <c r="D211" s="234" t="str">
        <f t="shared" si="7"/>
        <v>D6</v>
      </c>
    </row>
    <row r="212" spans="2:5" ht="12.75">
      <c r="B212">
        <v>208</v>
      </c>
      <c r="C212">
        <f t="shared" si="6"/>
        <v>218</v>
      </c>
      <c r="D212" s="234" t="str">
        <f t="shared" si="7"/>
        <v>DA</v>
      </c>
      <c r="E212" t="str">
        <f>"    dt      0x"&amp;D212&amp;",0x"&amp;D213&amp;",0x"&amp;D214&amp;",0x"&amp;D215&amp;",0x"&amp;D216&amp;",0x"&amp;D217&amp;",0x"&amp;D218&amp;",0x"&amp;D219</f>
        <v>    dt      0xDA,0xDF,0xE3,0xE7,0xEA,0xED,0xF1,0xF3</v>
      </c>
    </row>
    <row r="213" spans="2:4" ht="12.75">
      <c r="B213">
        <v>209</v>
      </c>
      <c r="C213">
        <f t="shared" si="6"/>
        <v>223</v>
      </c>
      <c r="D213" s="234" t="str">
        <f t="shared" si="7"/>
        <v>DF</v>
      </c>
    </row>
    <row r="214" spans="2:4" ht="12.75">
      <c r="B214">
        <v>210</v>
      </c>
      <c r="C214">
        <f t="shared" si="6"/>
        <v>227</v>
      </c>
      <c r="D214" s="234" t="str">
        <f t="shared" si="7"/>
        <v>E3</v>
      </c>
    </row>
    <row r="215" spans="2:4" ht="12.75">
      <c r="B215">
        <v>211</v>
      </c>
      <c r="C215">
        <f t="shared" si="6"/>
        <v>231</v>
      </c>
      <c r="D215" s="234" t="str">
        <f t="shared" si="7"/>
        <v>E7</v>
      </c>
    </row>
    <row r="216" spans="2:4" ht="12.75">
      <c r="B216">
        <v>212</v>
      </c>
      <c r="C216">
        <f t="shared" si="6"/>
        <v>234</v>
      </c>
      <c r="D216" s="234" t="str">
        <f t="shared" si="7"/>
        <v>EA</v>
      </c>
    </row>
    <row r="217" spans="2:4" ht="12.75">
      <c r="B217">
        <v>213</v>
      </c>
      <c r="C217">
        <f t="shared" si="6"/>
        <v>237</v>
      </c>
      <c r="D217" s="234" t="str">
        <f t="shared" si="7"/>
        <v>ED</v>
      </c>
    </row>
    <row r="218" spans="2:5" ht="12.75">
      <c r="B218">
        <v>214</v>
      </c>
      <c r="C218">
        <f t="shared" si="6"/>
        <v>241</v>
      </c>
      <c r="D218" s="234" t="str">
        <f t="shared" si="7"/>
        <v>F1</v>
      </c>
      <c r="E218" t="str">
        <f>"    dt      0x"&amp;D218&amp;",0x"&amp;D219&amp;",0x"&amp;D220&amp;",0x"&amp;D221&amp;",0x"&amp;D222&amp;",0x"&amp;D223&amp;",0x"&amp;D224&amp;",0x"&amp;D225</f>
        <v>    dt      0xF1,0xF3,0xF6,0xF8,0xFA,0xFC,0xFD,0xFE</v>
      </c>
    </row>
    <row r="219" spans="2:4" ht="12.75">
      <c r="B219">
        <v>215</v>
      </c>
      <c r="C219">
        <f t="shared" si="6"/>
        <v>243</v>
      </c>
      <c r="D219" s="234" t="str">
        <f t="shared" si="7"/>
        <v>F3</v>
      </c>
    </row>
    <row r="220" spans="2:5" ht="12.75">
      <c r="B220">
        <v>216</v>
      </c>
      <c r="C220">
        <f t="shared" si="6"/>
        <v>246</v>
      </c>
      <c r="D220" s="234" t="str">
        <f t="shared" si="7"/>
        <v>F6</v>
      </c>
      <c r="E220" t="str">
        <f>"    dt      0x"&amp;D220&amp;",0x"&amp;D221&amp;",0x"&amp;D222&amp;",0x"&amp;D223&amp;",0x"&amp;D224&amp;",0x"&amp;D225&amp;",0x"&amp;D226&amp;",0x"&amp;D227</f>
        <v>    dt      0xF6,0xF8,0xFA,0xFC,0xFD,0xFE,0xFF,0xFF</v>
      </c>
    </row>
    <row r="221" spans="2:4" ht="12.75">
      <c r="B221">
        <v>217</v>
      </c>
      <c r="C221">
        <f t="shared" si="6"/>
        <v>248</v>
      </c>
      <c r="D221" s="234" t="str">
        <f t="shared" si="7"/>
        <v>F8</v>
      </c>
    </row>
    <row r="222" spans="2:4" ht="12.75">
      <c r="B222">
        <v>218</v>
      </c>
      <c r="C222">
        <f t="shared" si="6"/>
        <v>250</v>
      </c>
      <c r="D222" s="234" t="str">
        <f t="shared" si="7"/>
        <v>FA</v>
      </c>
    </row>
    <row r="223" spans="2:4" ht="12.75">
      <c r="B223">
        <v>219</v>
      </c>
      <c r="C223">
        <f t="shared" si="6"/>
        <v>252</v>
      </c>
      <c r="D223" s="234" t="str">
        <f t="shared" si="7"/>
        <v>FC</v>
      </c>
    </row>
    <row r="224" spans="2:4" ht="12.75">
      <c r="B224">
        <v>220</v>
      </c>
      <c r="C224">
        <f t="shared" si="6"/>
        <v>253</v>
      </c>
      <c r="D224" s="234" t="str">
        <f t="shared" si="7"/>
        <v>FD</v>
      </c>
    </row>
    <row r="225" spans="2:4" ht="12.75">
      <c r="B225">
        <v>221</v>
      </c>
      <c r="C225">
        <f t="shared" si="6"/>
        <v>254</v>
      </c>
      <c r="D225" s="234" t="str">
        <f t="shared" si="7"/>
        <v>FE</v>
      </c>
    </row>
    <row r="226" spans="2:5" ht="12.75">
      <c r="B226">
        <v>222</v>
      </c>
      <c r="C226">
        <f t="shared" si="6"/>
        <v>255</v>
      </c>
      <c r="D226" s="234" t="str">
        <f t="shared" si="7"/>
        <v>FF</v>
      </c>
      <c r="E226" t="str">
        <f>"    dt      0x"&amp;D226&amp;",0x"&amp;D227&amp;",0x"&amp;D228&amp;",0x"&amp;D229&amp;",0x"&amp;D230&amp;",0x"&amp;D231&amp;",0x"&amp;D232&amp;",0x"&amp;D233</f>
        <v>    dt      0xFF,0xFF,0xFF,0xFF,0xFF,0xFE,0xFD,0xFC</v>
      </c>
    </row>
    <row r="227" spans="2:4" ht="12.75">
      <c r="B227">
        <v>223</v>
      </c>
      <c r="C227">
        <f t="shared" si="6"/>
        <v>255</v>
      </c>
      <c r="D227" s="234" t="str">
        <f t="shared" si="7"/>
        <v>FF</v>
      </c>
    </row>
    <row r="228" spans="2:5" ht="12.75">
      <c r="B228">
        <v>224</v>
      </c>
      <c r="C228">
        <f t="shared" si="6"/>
        <v>255</v>
      </c>
      <c r="D228" s="234" t="str">
        <f t="shared" si="7"/>
        <v>FF</v>
      </c>
      <c r="E228" t="str">
        <f>"    dt      0x"&amp;D228&amp;",0x"&amp;D229&amp;",0x"&amp;D230&amp;",0x"&amp;D231&amp;",0x"&amp;D232&amp;",0x"&amp;D233&amp;",0x"&amp;D234&amp;",0x"&amp;D235</f>
        <v>    dt      0xFF,0xFF,0xFF,0xFE,0xFD,0xFC,0xFA,0xF8</v>
      </c>
    </row>
    <row r="229" spans="2:4" ht="12.75">
      <c r="B229">
        <v>225</v>
      </c>
      <c r="C229">
        <f t="shared" si="6"/>
        <v>255</v>
      </c>
      <c r="D229" s="234" t="str">
        <f t="shared" si="7"/>
        <v>FF</v>
      </c>
    </row>
    <row r="230" spans="2:4" ht="12.75">
      <c r="B230">
        <v>226</v>
      </c>
      <c r="C230">
        <f t="shared" si="6"/>
        <v>255</v>
      </c>
      <c r="D230" s="234" t="str">
        <f t="shared" si="7"/>
        <v>FF</v>
      </c>
    </row>
    <row r="231" spans="2:4" ht="12.75">
      <c r="B231">
        <v>227</v>
      </c>
      <c r="C231">
        <f t="shared" si="6"/>
        <v>254</v>
      </c>
      <c r="D231" s="234" t="str">
        <f t="shared" si="7"/>
        <v>FE</v>
      </c>
    </row>
    <row r="232" spans="2:4" ht="12.75">
      <c r="B232">
        <v>228</v>
      </c>
      <c r="C232">
        <f t="shared" si="6"/>
        <v>253</v>
      </c>
      <c r="D232" s="234" t="str">
        <f t="shared" si="7"/>
        <v>FD</v>
      </c>
    </row>
    <row r="233" spans="2:4" ht="12.75">
      <c r="B233">
        <v>229</v>
      </c>
      <c r="C233">
        <f t="shared" si="6"/>
        <v>252</v>
      </c>
      <c r="D233" s="234" t="str">
        <f t="shared" si="7"/>
        <v>FC</v>
      </c>
    </row>
    <row r="234" spans="2:5" ht="12.75">
      <c r="B234">
        <v>230</v>
      </c>
      <c r="C234">
        <f t="shared" si="6"/>
        <v>250</v>
      </c>
      <c r="D234" s="234" t="str">
        <f t="shared" si="7"/>
        <v>FA</v>
      </c>
      <c r="E234" t="str">
        <f>"    dt      0x"&amp;D234&amp;",0x"&amp;D235&amp;",0x"&amp;D236&amp;",0x"&amp;D237&amp;",0x"&amp;D238&amp;",0x"&amp;D239&amp;",0x"&amp;D240&amp;",0x"&amp;D241</f>
        <v>    dt      0xFA,0xF8,0xF6,0xF3,0xF1,0xED,0xEA,0xE7</v>
      </c>
    </row>
    <row r="235" spans="2:4" ht="12.75">
      <c r="B235">
        <v>231</v>
      </c>
      <c r="C235">
        <f t="shared" si="6"/>
        <v>248</v>
      </c>
      <c r="D235" s="234" t="str">
        <f t="shared" si="7"/>
        <v>F8</v>
      </c>
    </row>
    <row r="236" spans="2:5" ht="12.75">
      <c r="B236">
        <v>232</v>
      </c>
      <c r="C236">
        <f t="shared" si="6"/>
        <v>246</v>
      </c>
      <c r="D236" s="234" t="str">
        <f t="shared" si="7"/>
        <v>F6</v>
      </c>
      <c r="E236" t="str">
        <f>"    dt      0x"&amp;D236&amp;",0x"&amp;D237&amp;",0x"&amp;D238&amp;",0x"&amp;D239&amp;",0x"&amp;D240&amp;",0x"&amp;D241&amp;",0x"&amp;D242&amp;",0x"&amp;D243</f>
        <v>    dt      0xF6,0xF3,0xF1,0xED,0xEA,0xE7,0xE3,0xDF</v>
      </c>
    </row>
    <row r="237" spans="2:4" ht="12.75">
      <c r="B237">
        <v>233</v>
      </c>
      <c r="C237">
        <f t="shared" si="6"/>
        <v>243</v>
      </c>
      <c r="D237" s="234" t="str">
        <f t="shared" si="7"/>
        <v>F3</v>
      </c>
    </row>
    <row r="238" spans="2:4" ht="12.75">
      <c r="B238">
        <v>234</v>
      </c>
      <c r="C238">
        <f t="shared" si="6"/>
        <v>241</v>
      </c>
      <c r="D238" s="234" t="str">
        <f t="shared" si="7"/>
        <v>F1</v>
      </c>
    </row>
    <row r="239" spans="2:4" ht="12.75">
      <c r="B239">
        <v>235</v>
      </c>
      <c r="C239">
        <f t="shared" si="6"/>
        <v>237</v>
      </c>
      <c r="D239" s="234" t="str">
        <f t="shared" si="7"/>
        <v>ED</v>
      </c>
    </row>
    <row r="240" spans="2:4" ht="12.75">
      <c r="B240">
        <v>236</v>
      </c>
      <c r="C240">
        <f t="shared" si="6"/>
        <v>234</v>
      </c>
      <c r="D240" s="234" t="str">
        <f t="shared" si="7"/>
        <v>EA</v>
      </c>
    </row>
    <row r="241" spans="2:4" ht="12.75">
      <c r="B241">
        <v>237</v>
      </c>
      <c r="C241">
        <f t="shared" si="6"/>
        <v>231</v>
      </c>
      <c r="D241" s="234" t="str">
        <f t="shared" si="7"/>
        <v>E7</v>
      </c>
    </row>
    <row r="242" spans="2:5" ht="12.75">
      <c r="B242">
        <v>238</v>
      </c>
      <c r="C242">
        <f t="shared" si="6"/>
        <v>227</v>
      </c>
      <c r="D242" s="234" t="str">
        <f t="shared" si="7"/>
        <v>E3</v>
      </c>
      <c r="E242" t="str">
        <f>"    dt      0x"&amp;D242&amp;",0x"&amp;D243&amp;",0x"&amp;D244&amp;",0x"&amp;D245&amp;",0x"&amp;D246&amp;",0x"&amp;D247&amp;",0x"&amp;D248&amp;",0x"&amp;D249</f>
        <v>    dt      0xE3,0xDF,0xDA,0xD6,0xD1,0xCC,0xC7,0xC2</v>
      </c>
    </row>
    <row r="243" spans="2:4" ht="12.75">
      <c r="B243">
        <v>239</v>
      </c>
      <c r="C243">
        <f t="shared" si="6"/>
        <v>223</v>
      </c>
      <c r="D243" s="234" t="str">
        <f t="shared" si="7"/>
        <v>DF</v>
      </c>
    </row>
    <row r="244" spans="2:5" ht="12.75">
      <c r="B244">
        <v>240</v>
      </c>
      <c r="C244">
        <f t="shared" si="6"/>
        <v>218</v>
      </c>
      <c r="D244" s="234" t="str">
        <f t="shared" si="7"/>
        <v>DA</v>
      </c>
      <c r="E244" t="str">
        <f>"    dt      0x"&amp;D244&amp;",0x"&amp;D245&amp;",0x"&amp;D246&amp;",0x"&amp;D247&amp;",0x"&amp;D248&amp;",0x"&amp;D249&amp;",0x"&amp;D250&amp;",0x"&amp;D251</f>
        <v>    dt      0xDA,0xD6,0xD1,0xCC,0xC7,0xC2,0xBC,0xB7</v>
      </c>
    </row>
    <row r="245" spans="2:4" ht="12.75">
      <c r="B245">
        <v>241</v>
      </c>
      <c r="C245">
        <f t="shared" si="6"/>
        <v>214</v>
      </c>
      <c r="D245" s="234" t="str">
        <f t="shared" si="7"/>
        <v>D6</v>
      </c>
    </row>
    <row r="246" spans="2:4" ht="12.75">
      <c r="B246">
        <v>242</v>
      </c>
      <c r="C246">
        <f t="shared" si="6"/>
        <v>209</v>
      </c>
      <c r="D246" s="234" t="str">
        <f t="shared" si="7"/>
        <v>D1</v>
      </c>
    </row>
    <row r="247" spans="2:4" ht="12.75">
      <c r="B247">
        <v>243</v>
      </c>
      <c r="C247">
        <f t="shared" si="6"/>
        <v>204</v>
      </c>
      <c r="D247" s="234" t="str">
        <f t="shared" si="7"/>
        <v>CC</v>
      </c>
    </row>
    <row r="248" spans="2:4" ht="12.75">
      <c r="B248">
        <v>244</v>
      </c>
      <c r="C248">
        <f t="shared" si="6"/>
        <v>199</v>
      </c>
      <c r="D248" s="234" t="str">
        <f t="shared" si="7"/>
        <v>C7</v>
      </c>
    </row>
    <row r="249" spans="2:4" ht="12.75">
      <c r="B249">
        <v>245</v>
      </c>
      <c r="C249">
        <f t="shared" si="6"/>
        <v>194</v>
      </c>
      <c r="D249" s="234" t="str">
        <f t="shared" si="7"/>
        <v>C2</v>
      </c>
    </row>
    <row r="250" spans="2:5" ht="12.75">
      <c r="B250">
        <v>246</v>
      </c>
      <c r="C250">
        <f t="shared" si="6"/>
        <v>188</v>
      </c>
      <c r="D250" s="234" t="str">
        <f t="shared" si="7"/>
        <v>BC</v>
      </c>
      <c r="E250" t="str">
        <f>"    dt      0x"&amp;D250&amp;",0x"&amp;D251&amp;",0x"&amp;D252&amp;",0x"&amp;D253&amp;",0x"&amp;D254&amp;",0x"&amp;D255&amp;",0x"&amp;D256&amp;",0x"&amp;D257</f>
        <v>    dt      0xBC,0xB7,0xB1,0xAB,0xA5,0x9F,0x99,0x93</v>
      </c>
    </row>
    <row r="251" spans="2:4" ht="12.75">
      <c r="B251">
        <v>247</v>
      </c>
      <c r="C251">
        <f t="shared" si="6"/>
        <v>183</v>
      </c>
      <c r="D251" s="234" t="str">
        <f t="shared" si="7"/>
        <v>B7</v>
      </c>
    </row>
    <row r="252" spans="2:5" ht="12.75">
      <c r="B252">
        <v>248</v>
      </c>
      <c r="C252">
        <f t="shared" si="6"/>
        <v>177</v>
      </c>
      <c r="D252" s="234" t="str">
        <f t="shared" si="7"/>
        <v>B1</v>
      </c>
      <c r="E252" t="str">
        <f>"    dt      0x"&amp;D252&amp;",0x"&amp;D253&amp;",0x"&amp;D254&amp;",0x"&amp;D255&amp;",0x"&amp;D256&amp;",0x"&amp;D257&amp;",0x"&amp;D258&amp;",0x"&amp;D259</f>
        <v>    dt      0xB1,0xAB,0xA5,0x9F,0x99,0x93,0x8D,0x87</v>
      </c>
    </row>
    <row r="253" spans="2:4" ht="12.75">
      <c r="B253">
        <v>249</v>
      </c>
      <c r="C253">
        <f t="shared" si="6"/>
        <v>171</v>
      </c>
      <c r="D253" s="234" t="str">
        <f t="shared" si="7"/>
        <v>AB</v>
      </c>
    </row>
    <row r="254" spans="2:4" ht="12.75">
      <c r="B254">
        <v>250</v>
      </c>
      <c r="C254">
        <f t="shared" si="6"/>
        <v>165</v>
      </c>
      <c r="D254" s="234" t="str">
        <f t="shared" si="7"/>
        <v>A5</v>
      </c>
    </row>
    <row r="255" spans="2:4" ht="12.75">
      <c r="B255">
        <v>251</v>
      </c>
      <c r="C255">
        <f t="shared" si="6"/>
        <v>159</v>
      </c>
      <c r="D255" s="234" t="str">
        <f t="shared" si="7"/>
        <v>9F</v>
      </c>
    </row>
    <row r="256" spans="2:4" ht="12.75">
      <c r="B256">
        <v>252</v>
      </c>
      <c r="C256">
        <f t="shared" si="6"/>
        <v>153</v>
      </c>
      <c r="D256" s="234" t="str">
        <f t="shared" si="7"/>
        <v>99</v>
      </c>
    </row>
    <row r="257" spans="2:4" ht="12.75">
      <c r="B257">
        <v>253</v>
      </c>
      <c r="C257">
        <f t="shared" si="6"/>
        <v>147</v>
      </c>
      <c r="D257" s="234" t="str">
        <f t="shared" si="7"/>
        <v>93</v>
      </c>
    </row>
    <row r="258" spans="2:5" ht="12.75">
      <c r="B258">
        <v>254</v>
      </c>
      <c r="C258">
        <f t="shared" si="6"/>
        <v>141</v>
      </c>
      <c r="D258" s="234" t="str">
        <f t="shared" si="7"/>
        <v>8D</v>
      </c>
      <c r="E258" t="str">
        <f>"    dt      0x"&amp;D258&amp;",0x"&amp;D259&amp;",0x"&amp;D260&amp;",0x"&amp;D261&amp;",0x"&amp;D262&amp;",0x"&amp;D263&amp;",0x"&amp;D264&amp;",0x"&amp;D265</f>
        <v>    dt      0x8D,0x87,0x,0x,0x,0x,0x,0x</v>
      </c>
    </row>
    <row r="259" spans="2:4" ht="12.75">
      <c r="B259">
        <v>255</v>
      </c>
      <c r="C259">
        <f t="shared" si="6"/>
        <v>135</v>
      </c>
      <c r="D259" s="234" t="str">
        <f t="shared" si="7"/>
        <v>87</v>
      </c>
    </row>
    <row r="260" ht="12.75">
      <c r="E260" t="str">
        <f>"    dt      0x"&amp;D260&amp;",0x"&amp;D261&amp;",0x"&amp;D262&amp;",0x"&amp;D263&amp;",0x"&amp;D264&amp;",0x"&amp;D265&amp;",0x"&amp;D266&amp;",0x"&amp;D267</f>
        <v>    dt      0x,0x,0x,0x,0x,0x,0x,0x</v>
      </c>
    </row>
    <row r="270" ht="12.75">
      <c r="D270" s="295" t="s">
        <v>710</v>
      </c>
    </row>
    <row r="271" spans="5:6" ht="12.75">
      <c r="E271" s="295" t="s">
        <v>765</v>
      </c>
      <c r="F271" s="295"/>
    </row>
    <row r="272" spans="5:6" ht="12.75">
      <c r="E272" s="295" t="s">
        <v>767</v>
      </c>
      <c r="F272" s="295"/>
    </row>
  </sheetData>
  <printOptions/>
  <pageMargins left="0.75" right="0.75" top="1" bottom="1" header="0.4921259845" footer="0.4921259845"/>
  <pageSetup fitToHeight="1" fitToWidth="1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2:I81"/>
  <sheetViews>
    <sheetView workbookViewId="0" topLeftCell="A48">
      <selection activeCell="D54" sqref="D54"/>
    </sheetView>
  </sheetViews>
  <sheetFormatPr defaultColWidth="11.421875" defaultRowHeight="12.75"/>
  <cols>
    <col min="1" max="2" width="19.421875" style="0" customWidth="1"/>
    <col min="3" max="3" width="10.00390625" style="0" customWidth="1"/>
    <col min="4" max="4" width="27.00390625" style="101" customWidth="1"/>
    <col min="5" max="5" width="13.57421875" style="101" customWidth="1"/>
    <col min="6" max="6" width="41.57421875" style="101" customWidth="1"/>
  </cols>
  <sheetData>
    <row r="2" ht="12.75">
      <c r="D2" s="101" t="s">
        <v>680</v>
      </c>
    </row>
    <row r="3" spans="1:6" ht="12.75">
      <c r="A3" s="229" t="s">
        <v>681</v>
      </c>
      <c r="F3" s="101" t="s">
        <v>617</v>
      </c>
    </row>
    <row r="4" spans="1:7" ht="12.75">
      <c r="A4" s="228" t="str">
        <f>TRIM(D4)</f>
        <v>ENC_HISTORY</v>
      </c>
      <c r="B4" s="228" t="s">
        <v>682</v>
      </c>
      <c r="C4" s="228" t="str">
        <f>E4</f>
        <v>0x0C</v>
      </c>
      <c r="D4" s="227" t="s">
        <v>471</v>
      </c>
      <c r="E4" s="101" t="s">
        <v>619</v>
      </c>
      <c r="F4" t="s">
        <v>472</v>
      </c>
      <c r="G4">
        <v>1</v>
      </c>
    </row>
    <row r="5" spans="1:7" ht="12.75">
      <c r="A5" s="228" t="str">
        <f aca="true" t="shared" si="0" ref="A5:A78">TRIM(D5)</f>
        <v>COUNT_0</v>
      </c>
      <c r="B5" s="228" t="s">
        <v>683</v>
      </c>
      <c r="C5" s="228" t="str">
        <f aca="true" t="shared" si="1" ref="C5:C68">E5</f>
        <v>0x0D</v>
      </c>
      <c r="D5" s="101" t="s">
        <v>473</v>
      </c>
      <c r="E5" s="101" t="s">
        <v>620</v>
      </c>
      <c r="F5" s="101" t="s">
        <v>522</v>
      </c>
      <c r="G5">
        <v>2</v>
      </c>
    </row>
    <row r="6" spans="1:7" ht="12.75">
      <c r="A6" s="228" t="str">
        <f t="shared" si="0"/>
        <v>COUNT_1</v>
      </c>
      <c r="B6" s="228" t="s">
        <v>684</v>
      </c>
      <c r="C6" s="228" t="str">
        <f t="shared" si="1"/>
        <v>0x0E</v>
      </c>
      <c r="D6" s="101" t="s">
        <v>474</v>
      </c>
      <c r="E6" s="101" t="s">
        <v>621</v>
      </c>
      <c r="F6" s="101" t="s">
        <v>523</v>
      </c>
      <c r="G6">
        <v>3</v>
      </c>
    </row>
    <row r="7" spans="1:7" ht="12.75">
      <c r="A7" s="228" t="str">
        <f t="shared" si="0"/>
        <v>COUNT_2</v>
      </c>
      <c r="B7" s="228" t="s">
        <v>685</v>
      </c>
      <c r="C7" s="228" t="str">
        <f t="shared" si="1"/>
        <v>0x0F</v>
      </c>
      <c r="D7" s="101" t="s">
        <v>475</v>
      </c>
      <c r="E7" s="101" t="s">
        <v>622</v>
      </c>
      <c r="F7" s="101" t="s">
        <v>524</v>
      </c>
      <c r="G7">
        <v>4</v>
      </c>
    </row>
    <row r="8" spans="1:7" ht="12.75">
      <c r="A8" s="228" t="str">
        <f t="shared" si="0"/>
        <v>COUNT_3</v>
      </c>
      <c r="B8" s="228" t="s">
        <v>625</v>
      </c>
      <c r="C8" s="228" t="str">
        <f t="shared" si="1"/>
        <v>0x10</v>
      </c>
      <c r="D8" s="101" t="s">
        <v>476</v>
      </c>
      <c r="E8" s="101" t="s">
        <v>615</v>
      </c>
      <c r="F8" s="101" t="s">
        <v>525</v>
      </c>
      <c r="G8">
        <v>5</v>
      </c>
    </row>
    <row r="9" spans="1:7" ht="12.75">
      <c r="A9" s="228" t="str">
        <f t="shared" si="0"/>
        <v>COUNT_4</v>
      </c>
      <c r="B9" s="228" t="s">
        <v>626</v>
      </c>
      <c r="C9" s="228" t="str">
        <f t="shared" si="1"/>
        <v>0x11</v>
      </c>
      <c r="D9" s="101" t="s">
        <v>477</v>
      </c>
      <c r="E9" s="101" t="s">
        <v>616</v>
      </c>
      <c r="F9" s="101" t="s">
        <v>526</v>
      </c>
      <c r="G9">
        <v>6</v>
      </c>
    </row>
    <row r="10" spans="1:7" ht="12.75">
      <c r="A10" s="228" t="str">
        <f t="shared" si="0"/>
        <v>TEMP_1</v>
      </c>
      <c r="B10" s="228" t="s">
        <v>627</v>
      </c>
      <c r="C10" s="228" t="str">
        <f t="shared" si="1"/>
        <v>0x12</v>
      </c>
      <c r="D10" s="101" t="s">
        <v>478</v>
      </c>
      <c r="E10" s="101" t="s">
        <v>601</v>
      </c>
      <c r="F10" s="101" t="s">
        <v>527</v>
      </c>
      <c r="G10">
        <v>7</v>
      </c>
    </row>
    <row r="11" spans="1:7" ht="12.75">
      <c r="A11" s="228" t="str">
        <f t="shared" si="0"/>
        <v>TEMP_2</v>
      </c>
      <c r="B11" s="228" t="s">
        <v>628</v>
      </c>
      <c r="C11" s="228" t="str">
        <f t="shared" si="1"/>
        <v>0x13</v>
      </c>
      <c r="D11" s="101" t="s">
        <v>479</v>
      </c>
      <c r="E11" s="101" t="s">
        <v>602</v>
      </c>
      <c r="F11" s="101" t="s">
        <v>528</v>
      </c>
      <c r="G11">
        <v>8</v>
      </c>
    </row>
    <row r="12" spans="1:7" ht="12.75">
      <c r="A12" s="228" t="str">
        <f t="shared" si="0"/>
        <v>TEMP_3</v>
      </c>
      <c r="B12" s="228" t="s">
        <v>629</v>
      </c>
      <c r="C12" s="228" t="str">
        <f t="shared" si="1"/>
        <v>0x14</v>
      </c>
      <c r="D12" s="101" t="s">
        <v>480</v>
      </c>
      <c r="E12" s="101" t="s">
        <v>603</v>
      </c>
      <c r="F12" s="101" t="s">
        <v>528</v>
      </c>
      <c r="G12">
        <v>9</v>
      </c>
    </row>
    <row r="13" spans="1:7" ht="12.75">
      <c r="A13" s="228" t="str">
        <f t="shared" si="0"/>
        <v>ENC_COUNTER</v>
      </c>
      <c r="B13" s="228" t="s">
        <v>630</v>
      </c>
      <c r="C13" s="228" t="str">
        <f t="shared" si="1"/>
        <v>0x15</v>
      </c>
      <c r="D13" s="101" t="s">
        <v>481</v>
      </c>
      <c r="E13" s="101" t="s">
        <v>604</v>
      </c>
      <c r="F13" s="101" t="s">
        <v>529</v>
      </c>
      <c r="G13">
        <v>10</v>
      </c>
    </row>
    <row r="14" spans="1:7" ht="12.75">
      <c r="A14" s="228" t="str">
        <f t="shared" si="0"/>
        <v>INT_COUNT</v>
      </c>
      <c r="B14" s="228" t="s">
        <v>631</v>
      </c>
      <c r="C14" s="228" t="str">
        <f t="shared" si="1"/>
        <v>0x16</v>
      </c>
      <c r="D14" s="101" t="s">
        <v>482</v>
      </c>
      <c r="E14" s="101" t="s">
        <v>605</v>
      </c>
      <c r="F14" s="101" t="s">
        <v>530</v>
      </c>
      <c r="G14">
        <v>11</v>
      </c>
    </row>
    <row r="15" spans="1:7" ht="12.75">
      <c r="A15" s="228" t="str">
        <f t="shared" si="0"/>
        <v>SW_B_CNT</v>
      </c>
      <c r="B15" s="228" t="s">
        <v>632</v>
      </c>
      <c r="C15" s="228" t="str">
        <f t="shared" si="1"/>
        <v>0x17</v>
      </c>
      <c r="D15" s="101" t="s">
        <v>483</v>
      </c>
      <c r="E15" s="101" t="s">
        <v>606</v>
      </c>
      <c r="F15" s="101" t="s">
        <v>531</v>
      </c>
      <c r="G15">
        <v>12</v>
      </c>
    </row>
    <row r="16" spans="1:7" ht="12.75">
      <c r="A16" s="228" t="str">
        <f t="shared" si="0"/>
        <v>SW_B_OLD</v>
      </c>
      <c r="B16" s="228" t="s">
        <v>633</v>
      </c>
      <c r="C16" s="228" t="str">
        <f t="shared" si="1"/>
        <v>0x18</v>
      </c>
      <c r="D16" s="101" t="s">
        <v>484</v>
      </c>
      <c r="E16" s="101" t="s">
        <v>607</v>
      </c>
      <c r="F16" s="101" t="s">
        <v>532</v>
      </c>
      <c r="G16">
        <v>13</v>
      </c>
    </row>
    <row r="17" spans="1:7" ht="12.75">
      <c r="A17" s="228" t="str">
        <f t="shared" si="0"/>
        <v>SW_C_CNT</v>
      </c>
      <c r="B17" s="228" t="s">
        <v>634</v>
      </c>
      <c r="C17" s="228" t="str">
        <f t="shared" si="1"/>
        <v>0x19</v>
      </c>
      <c r="D17" s="101" t="s">
        <v>485</v>
      </c>
      <c r="E17" s="101" t="s">
        <v>608</v>
      </c>
      <c r="F17" s="101" t="s">
        <v>533</v>
      </c>
      <c r="G17">
        <v>14</v>
      </c>
    </row>
    <row r="18" spans="1:7" ht="12.75">
      <c r="A18" s="228" t="str">
        <f t="shared" si="0"/>
        <v>SW_BC_CNT</v>
      </c>
      <c r="B18" s="228" t="s">
        <v>635</v>
      </c>
      <c r="C18" s="228" t="str">
        <f t="shared" si="1"/>
        <v>0x1A</v>
      </c>
      <c r="D18" s="101" t="s">
        <v>486</v>
      </c>
      <c r="E18" s="101" t="s">
        <v>609</v>
      </c>
      <c r="F18" s="101" t="s">
        <v>534</v>
      </c>
      <c r="G18">
        <v>15</v>
      </c>
    </row>
    <row r="19" spans="1:7" ht="12.75">
      <c r="A19" s="228" t="str">
        <f t="shared" si="0"/>
        <v>SW_BC_OLD</v>
      </c>
      <c r="B19" s="228" t="s">
        <v>636</v>
      </c>
      <c r="C19" s="228" t="str">
        <f t="shared" si="1"/>
        <v>0x1B</v>
      </c>
      <c r="D19" s="101" t="s">
        <v>487</v>
      </c>
      <c r="E19" s="101" t="s">
        <v>610</v>
      </c>
      <c r="F19" s="101" t="s">
        <v>532</v>
      </c>
      <c r="G19">
        <v>16</v>
      </c>
    </row>
    <row r="20" spans="1:7" ht="12.75">
      <c r="A20" s="228" t="str">
        <f t="shared" si="0"/>
        <v>TIMEOUT_L</v>
      </c>
      <c r="B20" s="228" t="s">
        <v>637</v>
      </c>
      <c r="C20" s="228" t="str">
        <f t="shared" si="1"/>
        <v>0x1C</v>
      </c>
      <c r="D20" s="101" t="s">
        <v>488</v>
      </c>
      <c r="E20" s="101" t="s">
        <v>611</v>
      </c>
      <c r="F20" s="101" t="s">
        <v>535</v>
      </c>
      <c r="G20">
        <v>17</v>
      </c>
    </row>
    <row r="21" spans="1:7" ht="12.75">
      <c r="A21" s="228" t="str">
        <f t="shared" si="0"/>
        <v>TIMEOUT_H</v>
      </c>
      <c r="B21" s="228" t="s">
        <v>638</v>
      </c>
      <c r="C21" s="228" t="str">
        <f t="shared" si="1"/>
        <v>0x1D</v>
      </c>
      <c r="D21" s="101" t="s">
        <v>489</v>
      </c>
      <c r="E21" s="101" t="s">
        <v>612</v>
      </c>
      <c r="F21" s="101" t="s">
        <v>536</v>
      </c>
      <c r="G21">
        <v>18</v>
      </c>
    </row>
    <row r="22" spans="1:7" ht="12.75">
      <c r="A22" s="228" t="str">
        <f t="shared" si="0"/>
        <v>EEPROM_WRITE</v>
      </c>
      <c r="B22" s="228" t="s">
        <v>639</v>
      </c>
      <c r="C22" s="228" t="str">
        <f t="shared" si="1"/>
        <v>0x1E</v>
      </c>
      <c r="D22" s="101" t="s">
        <v>490</v>
      </c>
      <c r="E22" s="101" t="s">
        <v>613</v>
      </c>
      <c r="F22" s="101" t="s">
        <v>537</v>
      </c>
      <c r="G22">
        <v>19</v>
      </c>
    </row>
    <row r="23" spans="1:7" ht="12.75">
      <c r="A23" s="228" t="str">
        <f t="shared" si="0"/>
        <v>FLAGS</v>
      </c>
      <c r="B23" s="228" t="s">
        <v>640</v>
      </c>
      <c r="C23" s="228" t="str">
        <f t="shared" si="1"/>
        <v>0x1F</v>
      </c>
      <c r="D23" s="101" t="s">
        <v>491</v>
      </c>
      <c r="E23" s="101" t="s">
        <v>614</v>
      </c>
      <c r="F23" s="101" t="s">
        <v>538</v>
      </c>
      <c r="G23">
        <v>20</v>
      </c>
    </row>
    <row r="24" spans="1:7" ht="12.75">
      <c r="A24" s="228" t="str">
        <f t="shared" si="0"/>
        <v>FLAG2</v>
      </c>
      <c r="B24" s="228" t="s">
        <v>641</v>
      </c>
      <c r="C24" s="228" t="str">
        <f t="shared" si="1"/>
        <v>0x20</v>
      </c>
      <c r="D24" s="101" t="s">
        <v>492</v>
      </c>
      <c r="E24" s="101" t="s">
        <v>551</v>
      </c>
      <c r="F24" s="101" t="s">
        <v>539</v>
      </c>
      <c r="G24">
        <v>21</v>
      </c>
    </row>
    <row r="25" spans="1:7" ht="12.75">
      <c r="A25" s="228" t="str">
        <f t="shared" si="0"/>
        <v>FREQUENCY</v>
      </c>
      <c r="B25" s="228" t="s">
        <v>642</v>
      </c>
      <c r="C25" s="228" t="str">
        <f t="shared" si="1"/>
        <v>0x21</v>
      </c>
      <c r="D25" s="101" t="s">
        <v>553</v>
      </c>
      <c r="E25" s="101" t="s">
        <v>552</v>
      </c>
      <c r="F25" s="101" t="s">
        <v>540</v>
      </c>
      <c r="G25">
        <v>22</v>
      </c>
    </row>
    <row r="26" spans="1:7" ht="12.75">
      <c r="A26" s="228">
        <f t="shared" si="0"/>
      </c>
      <c r="B26" s="228" t="s">
        <v>643</v>
      </c>
      <c r="C26" s="228" t="str">
        <f t="shared" si="1"/>
        <v>0x22</v>
      </c>
      <c r="E26" s="101" t="s">
        <v>555</v>
      </c>
      <c r="F26" s="101" t="s">
        <v>526</v>
      </c>
      <c r="G26">
        <v>23</v>
      </c>
    </row>
    <row r="27" spans="1:7" ht="12.75">
      <c r="A27" s="228">
        <f t="shared" si="0"/>
      </c>
      <c r="B27" s="228" t="s">
        <v>644</v>
      </c>
      <c r="C27" s="228" t="str">
        <f t="shared" si="1"/>
        <v>0x23</v>
      </c>
      <c r="E27" s="101" t="s">
        <v>556</v>
      </c>
      <c r="F27" s="101" t="s">
        <v>526</v>
      </c>
      <c r="G27">
        <v>24</v>
      </c>
    </row>
    <row r="28" spans="1:7" ht="12.75">
      <c r="A28" s="228">
        <f t="shared" si="0"/>
      </c>
      <c r="B28" s="228" t="s">
        <v>645</v>
      </c>
      <c r="C28" s="228" t="str">
        <f t="shared" si="1"/>
        <v>0x24</v>
      </c>
      <c r="E28" s="101" t="s">
        <v>557</v>
      </c>
      <c r="F28" s="101" t="s">
        <v>526</v>
      </c>
      <c r="G28">
        <v>25</v>
      </c>
    </row>
    <row r="29" spans="1:7" ht="12.75">
      <c r="A29" s="228">
        <f t="shared" si="0"/>
      </c>
      <c r="B29" s="228" t="s">
        <v>646</v>
      </c>
      <c r="C29" s="228" t="str">
        <f t="shared" si="1"/>
        <v>0x25</v>
      </c>
      <c r="E29" s="101" t="s">
        <v>558</v>
      </c>
      <c r="F29" s="101" t="s">
        <v>526</v>
      </c>
      <c r="G29">
        <v>26</v>
      </c>
    </row>
    <row r="30" spans="1:7" ht="12.75">
      <c r="A30" s="228" t="str">
        <f t="shared" si="0"/>
        <v>STEP_NUM</v>
      </c>
      <c r="B30" s="228" t="s">
        <v>647</v>
      </c>
      <c r="C30" s="228" t="str">
        <f t="shared" si="1"/>
        <v>0x26</v>
      </c>
      <c r="D30" s="101" t="s">
        <v>493</v>
      </c>
      <c r="E30" s="101" t="s">
        <v>559</v>
      </c>
      <c r="F30" s="101" t="s">
        <v>541</v>
      </c>
      <c r="G30">
        <v>27</v>
      </c>
    </row>
    <row r="31" spans="1:7" ht="12.75">
      <c r="A31" s="228" t="str">
        <f t="shared" si="0"/>
        <v>STEP_RATE</v>
      </c>
      <c r="B31" s="228" t="s">
        <v>648</v>
      </c>
      <c r="C31" s="228" t="str">
        <f t="shared" si="1"/>
        <v>0x27</v>
      </c>
      <c r="D31" s="101" t="s">
        <v>494</v>
      </c>
      <c r="E31" s="101" t="s">
        <v>560</v>
      </c>
      <c r="F31" s="101" t="s">
        <v>526</v>
      </c>
      <c r="G31">
        <v>28</v>
      </c>
    </row>
    <row r="32" spans="1:7" ht="12.75">
      <c r="A32" s="228" t="str">
        <f t="shared" si="0"/>
        <v>DDS_OLD</v>
      </c>
      <c r="B32" s="228" t="s">
        <v>649</v>
      </c>
      <c r="C32" s="228" t="str">
        <f t="shared" si="1"/>
        <v>0x28</v>
      </c>
      <c r="D32" s="101" t="s">
        <v>554</v>
      </c>
      <c r="E32" s="101" t="s">
        <v>561</v>
      </c>
      <c r="F32" s="101" t="s">
        <v>543</v>
      </c>
      <c r="G32">
        <v>29</v>
      </c>
    </row>
    <row r="33" spans="1:7" ht="12.75">
      <c r="A33" s="228">
        <f t="shared" si="0"/>
      </c>
      <c r="B33" s="228" t="s">
        <v>650</v>
      </c>
      <c r="C33" s="228" t="str">
        <f t="shared" si="1"/>
        <v>0x29</v>
      </c>
      <c r="E33" s="101" t="s">
        <v>562</v>
      </c>
      <c r="F33" s="101" t="s">
        <v>526</v>
      </c>
      <c r="G33">
        <v>30</v>
      </c>
    </row>
    <row r="34" spans="1:9" ht="12.75">
      <c r="A34" s="228">
        <f t="shared" si="0"/>
      </c>
      <c r="B34" s="228" t="s">
        <v>651</v>
      </c>
      <c r="C34" s="228" t="str">
        <f t="shared" si="1"/>
        <v>0x2A</v>
      </c>
      <c r="E34" s="101" t="s">
        <v>577</v>
      </c>
      <c r="F34" s="101" t="s">
        <v>526</v>
      </c>
      <c r="G34">
        <v>31</v>
      </c>
      <c r="I34" s="101" t="s">
        <v>542</v>
      </c>
    </row>
    <row r="35" spans="1:7" ht="12.75">
      <c r="A35" s="228">
        <f t="shared" si="0"/>
      </c>
      <c r="B35" s="228" t="s">
        <v>652</v>
      </c>
      <c r="C35" s="228" t="str">
        <f t="shared" si="1"/>
        <v>0x2B</v>
      </c>
      <c r="E35" s="101" t="s">
        <v>576</v>
      </c>
      <c r="F35" s="101" t="s">
        <v>526</v>
      </c>
      <c r="G35">
        <v>32</v>
      </c>
    </row>
    <row r="36" spans="1:7" ht="12.75">
      <c r="A36" s="228">
        <f t="shared" si="0"/>
      </c>
      <c r="B36" s="228" t="s">
        <v>653</v>
      </c>
      <c r="C36" s="228" t="str">
        <f t="shared" si="1"/>
        <v>0x2C</v>
      </c>
      <c r="E36" s="101" t="s">
        <v>578</v>
      </c>
      <c r="F36" s="101" t="s">
        <v>526</v>
      </c>
      <c r="G36">
        <v>33</v>
      </c>
    </row>
    <row r="37" spans="1:7" ht="12.75">
      <c r="A37" s="228" t="str">
        <f t="shared" si="0"/>
        <v>ARG1_10</v>
      </c>
      <c r="B37" s="228" t="s">
        <v>654</v>
      </c>
      <c r="C37" s="228" t="str">
        <f t="shared" si="1"/>
        <v>0x2D</v>
      </c>
      <c r="D37" s="101" t="s">
        <v>495</v>
      </c>
      <c r="E37" s="101" t="s">
        <v>579</v>
      </c>
      <c r="F37" s="101" t="s">
        <v>544</v>
      </c>
      <c r="G37">
        <v>34</v>
      </c>
    </row>
    <row r="38" spans="1:7" ht="12.75">
      <c r="A38" s="228" t="str">
        <f t="shared" si="0"/>
        <v>ARG1_9</v>
      </c>
      <c r="B38" s="228" t="s">
        <v>655</v>
      </c>
      <c r="C38" s="228" t="str">
        <f t="shared" si="1"/>
        <v>0x2E</v>
      </c>
      <c r="D38" s="101" t="s">
        <v>496</v>
      </c>
      <c r="E38" s="101" t="s">
        <v>580</v>
      </c>
      <c r="F38" s="101" t="s">
        <v>545</v>
      </c>
      <c r="G38">
        <v>35</v>
      </c>
    </row>
    <row r="39" spans="1:7" ht="12.75">
      <c r="A39" s="228" t="str">
        <f t="shared" si="0"/>
        <v>ARG1_8</v>
      </c>
      <c r="B39" s="228" t="s">
        <v>656</v>
      </c>
      <c r="C39" s="228" t="str">
        <f t="shared" si="1"/>
        <v>0x2F</v>
      </c>
      <c r="D39" s="101" t="s">
        <v>497</v>
      </c>
      <c r="E39" s="101" t="s">
        <v>581</v>
      </c>
      <c r="F39" s="101" t="s">
        <v>546</v>
      </c>
      <c r="G39">
        <v>36</v>
      </c>
    </row>
    <row r="40" spans="1:7" ht="12.75">
      <c r="A40" s="228" t="str">
        <f t="shared" si="0"/>
        <v>ARG1_7</v>
      </c>
      <c r="B40" s="228" t="s">
        <v>657</v>
      </c>
      <c r="C40" s="228" t="str">
        <f t="shared" si="1"/>
        <v>0x30</v>
      </c>
      <c r="D40" s="101" t="s">
        <v>498</v>
      </c>
      <c r="E40" s="101" t="s">
        <v>563</v>
      </c>
      <c r="F40" s="101" t="s">
        <v>546</v>
      </c>
      <c r="G40">
        <v>37</v>
      </c>
    </row>
    <row r="41" spans="1:7" ht="12.75">
      <c r="A41" s="228" t="str">
        <f t="shared" si="0"/>
        <v>ARG1_6</v>
      </c>
      <c r="B41" s="228" t="s">
        <v>658</v>
      </c>
      <c r="C41" s="228" t="str">
        <f t="shared" si="1"/>
        <v>0x31</v>
      </c>
      <c r="D41" s="101" t="s">
        <v>499</v>
      </c>
      <c r="E41" s="101" t="s">
        <v>564</v>
      </c>
      <c r="F41" s="101" t="s">
        <v>546</v>
      </c>
      <c r="G41">
        <v>38</v>
      </c>
    </row>
    <row r="42" spans="1:7" ht="12.75">
      <c r="A42" s="228" t="str">
        <f t="shared" si="0"/>
        <v>ARG1_5</v>
      </c>
      <c r="B42" s="228" t="s">
        <v>659</v>
      </c>
      <c r="C42" s="228" t="str">
        <f t="shared" si="1"/>
        <v>0x32</v>
      </c>
      <c r="D42" s="101" t="s">
        <v>500</v>
      </c>
      <c r="E42" s="101" t="s">
        <v>565</v>
      </c>
      <c r="F42" s="101" t="s">
        <v>547</v>
      </c>
      <c r="G42">
        <v>39</v>
      </c>
    </row>
    <row r="43" spans="1:7" ht="12.75">
      <c r="A43" s="228" t="str">
        <f t="shared" si="0"/>
        <v>ARG1_4</v>
      </c>
      <c r="B43" s="228" t="s">
        <v>660</v>
      </c>
      <c r="C43" s="228" t="str">
        <f t="shared" si="1"/>
        <v>0x33</v>
      </c>
      <c r="D43" s="101" t="s">
        <v>501</v>
      </c>
      <c r="E43" s="101" t="s">
        <v>566</v>
      </c>
      <c r="F43" s="101" t="s">
        <v>546</v>
      </c>
      <c r="G43">
        <v>40</v>
      </c>
    </row>
    <row r="44" spans="1:7" ht="12.75">
      <c r="A44" s="228" t="str">
        <f t="shared" si="0"/>
        <v>ARG1_3</v>
      </c>
      <c r="B44" s="228" t="s">
        <v>661</v>
      </c>
      <c r="C44" s="228" t="str">
        <f t="shared" si="1"/>
        <v>0x34</v>
      </c>
      <c r="D44" s="101" t="s">
        <v>502</v>
      </c>
      <c r="E44" s="101" t="s">
        <v>567</v>
      </c>
      <c r="F44" s="101" t="s">
        <v>546</v>
      </c>
      <c r="G44">
        <v>41</v>
      </c>
    </row>
    <row r="45" spans="1:7" ht="12.75">
      <c r="A45" s="228" t="str">
        <f t="shared" si="0"/>
        <v>ARG1_2</v>
      </c>
      <c r="B45" s="228" t="s">
        <v>662</v>
      </c>
      <c r="C45" s="228" t="str">
        <f t="shared" si="1"/>
        <v>0x35</v>
      </c>
      <c r="D45" s="101" t="s">
        <v>503</v>
      </c>
      <c r="E45" s="101" t="s">
        <v>568</v>
      </c>
      <c r="F45" s="101" t="s">
        <v>546</v>
      </c>
      <c r="G45">
        <v>42</v>
      </c>
    </row>
    <row r="46" spans="1:7" ht="12.75">
      <c r="A46" s="228" t="str">
        <f t="shared" si="0"/>
        <v>ARG1_1</v>
      </c>
      <c r="B46" s="228" t="s">
        <v>663</v>
      </c>
      <c r="C46" s="228" t="str">
        <f t="shared" si="1"/>
        <v>0x36</v>
      </c>
      <c r="D46" s="101" t="s">
        <v>504</v>
      </c>
      <c r="E46" s="101" t="s">
        <v>569</v>
      </c>
      <c r="F46" s="101" t="s">
        <v>546</v>
      </c>
      <c r="G46">
        <v>43</v>
      </c>
    </row>
    <row r="47" spans="1:7" ht="12.75">
      <c r="A47" s="228" t="str">
        <f t="shared" si="0"/>
        <v>ARG1_0</v>
      </c>
      <c r="B47" s="228" t="s">
        <v>664</v>
      </c>
      <c r="C47" s="228" t="str">
        <f t="shared" si="1"/>
        <v>0x37</v>
      </c>
      <c r="D47" s="101" t="s">
        <v>505</v>
      </c>
      <c r="E47" s="101" t="s">
        <v>570</v>
      </c>
      <c r="F47" s="101" t="s">
        <v>548</v>
      </c>
      <c r="G47">
        <v>44</v>
      </c>
    </row>
    <row r="48" spans="1:7" ht="12.75">
      <c r="A48" s="228" t="str">
        <f t="shared" si="0"/>
        <v>ARG2_4</v>
      </c>
      <c r="B48" s="228" t="s">
        <v>665</v>
      </c>
      <c r="C48" s="228" t="str">
        <f t="shared" si="1"/>
        <v>0x38</v>
      </c>
      <c r="D48" s="101" t="s">
        <v>506</v>
      </c>
      <c r="E48" s="101" t="s">
        <v>571</v>
      </c>
      <c r="F48" s="101" t="s">
        <v>545</v>
      </c>
      <c r="G48">
        <v>45</v>
      </c>
    </row>
    <row r="49" spans="1:7" ht="12.75">
      <c r="A49" s="228" t="str">
        <f t="shared" si="0"/>
        <v>ARG2_3</v>
      </c>
      <c r="B49" s="228" t="s">
        <v>666</v>
      </c>
      <c r="C49" s="228" t="str">
        <f t="shared" si="1"/>
        <v>0x39</v>
      </c>
      <c r="D49" s="101" t="s">
        <v>507</v>
      </c>
      <c r="E49" s="101" t="s">
        <v>572</v>
      </c>
      <c r="F49" s="101" t="s">
        <v>546</v>
      </c>
      <c r="G49">
        <v>46</v>
      </c>
    </row>
    <row r="50" spans="1:7" ht="12.75">
      <c r="A50" s="228" t="str">
        <f t="shared" si="0"/>
        <v>ARG2_2</v>
      </c>
      <c r="B50" s="228" t="s">
        <v>667</v>
      </c>
      <c r="C50" s="228" t="str">
        <f t="shared" si="1"/>
        <v>0x3A</v>
      </c>
      <c r="D50" s="101" t="s">
        <v>508</v>
      </c>
      <c r="E50" s="101" t="s">
        <v>575</v>
      </c>
      <c r="F50" s="101" t="s">
        <v>549</v>
      </c>
      <c r="G50">
        <v>47</v>
      </c>
    </row>
    <row r="51" spans="1:7" ht="12.75">
      <c r="A51" s="228" t="str">
        <f t="shared" si="0"/>
        <v>ARG2_1</v>
      </c>
      <c r="B51" s="228" t="s">
        <v>668</v>
      </c>
      <c r="C51" s="228" t="str">
        <f t="shared" si="1"/>
        <v>0x3B</v>
      </c>
      <c r="D51" s="101" t="s">
        <v>509</v>
      </c>
      <c r="E51" s="101" t="s">
        <v>583</v>
      </c>
      <c r="F51" s="101" t="s">
        <v>546</v>
      </c>
      <c r="G51">
        <v>48</v>
      </c>
    </row>
    <row r="52" spans="1:7" ht="12.75">
      <c r="A52" s="228" t="str">
        <f t="shared" si="0"/>
        <v>ARG2_0</v>
      </c>
      <c r="B52" s="228" t="s">
        <v>669</v>
      </c>
      <c r="C52" s="228" t="str">
        <f t="shared" si="1"/>
        <v>0x3C</v>
      </c>
      <c r="D52" s="101" t="s">
        <v>510</v>
      </c>
      <c r="E52" s="101" t="s">
        <v>584</v>
      </c>
      <c r="F52" s="101" t="s">
        <v>548</v>
      </c>
      <c r="G52">
        <v>49</v>
      </c>
    </row>
    <row r="53" spans="1:7" ht="12.75">
      <c r="A53" s="228" t="str">
        <f t="shared" si="0"/>
        <v>ARG3_4</v>
      </c>
      <c r="B53" s="228" t="s">
        <v>670</v>
      </c>
      <c r="C53" s="228" t="str">
        <f t="shared" si="1"/>
        <v>0x3D</v>
      </c>
      <c r="D53" s="101" t="s">
        <v>511</v>
      </c>
      <c r="E53" s="101" t="s">
        <v>585</v>
      </c>
      <c r="F53" s="101" t="s">
        <v>545</v>
      </c>
      <c r="G53">
        <v>50</v>
      </c>
    </row>
    <row r="54" spans="1:7" ht="12.75">
      <c r="A54" s="228" t="str">
        <f t="shared" si="0"/>
        <v>ARG3_3</v>
      </c>
      <c r="B54" s="228" t="s">
        <v>671</v>
      </c>
      <c r="C54" s="228" t="str">
        <f t="shared" si="1"/>
        <v>0x3E</v>
      </c>
      <c r="D54" s="101" t="s">
        <v>512</v>
      </c>
      <c r="E54" s="101" t="s">
        <v>586</v>
      </c>
      <c r="F54" s="101" t="s">
        <v>546</v>
      </c>
      <c r="G54">
        <v>51</v>
      </c>
    </row>
    <row r="55" spans="1:7" ht="12.75">
      <c r="A55" s="228" t="str">
        <f t="shared" si="0"/>
        <v>ARG3_2</v>
      </c>
      <c r="B55" s="228" t="s">
        <v>672</v>
      </c>
      <c r="C55" s="228" t="str">
        <f t="shared" si="1"/>
        <v>0x3F</v>
      </c>
      <c r="D55" s="101" t="s">
        <v>513</v>
      </c>
      <c r="E55" s="101" t="s">
        <v>587</v>
      </c>
      <c r="F55" s="101" t="s">
        <v>549</v>
      </c>
      <c r="G55">
        <v>52</v>
      </c>
    </row>
    <row r="56" spans="1:7" ht="12.75">
      <c r="A56" s="228" t="str">
        <f t="shared" si="0"/>
        <v>ARG3_1</v>
      </c>
      <c r="B56" s="228" t="s">
        <v>673</v>
      </c>
      <c r="C56" s="228" t="str">
        <f t="shared" si="1"/>
        <v>0x40</v>
      </c>
      <c r="D56" s="101" t="s">
        <v>514</v>
      </c>
      <c r="E56" s="101" t="s">
        <v>573</v>
      </c>
      <c r="F56" s="101" t="s">
        <v>546</v>
      </c>
      <c r="G56">
        <v>53</v>
      </c>
    </row>
    <row r="57" spans="1:7" ht="12.75">
      <c r="A57" s="228" t="str">
        <f t="shared" si="0"/>
        <v>ARG3_0</v>
      </c>
      <c r="B57" s="228" t="s">
        <v>674</v>
      </c>
      <c r="C57" s="228" t="str">
        <f t="shared" si="1"/>
        <v>0x41</v>
      </c>
      <c r="D57" s="101" t="s">
        <v>515</v>
      </c>
      <c r="E57" s="101" t="s">
        <v>574</v>
      </c>
      <c r="F57" s="101" t="s">
        <v>548</v>
      </c>
      <c r="G57">
        <v>54</v>
      </c>
    </row>
    <row r="58" spans="1:7" ht="12.75">
      <c r="A58" s="228" t="str">
        <f t="shared" si="0"/>
        <v>ARG4_4</v>
      </c>
      <c r="B58" s="228" t="s">
        <v>675</v>
      </c>
      <c r="C58" s="228" t="str">
        <f t="shared" si="1"/>
        <v>0x42</v>
      </c>
      <c r="D58" s="101" t="s">
        <v>516</v>
      </c>
      <c r="E58" s="101" t="s">
        <v>582</v>
      </c>
      <c r="F58" s="101" t="s">
        <v>545</v>
      </c>
      <c r="G58">
        <v>55</v>
      </c>
    </row>
    <row r="59" spans="1:7" ht="12.75">
      <c r="A59" s="228" t="str">
        <f t="shared" si="0"/>
        <v>ARG4_3</v>
      </c>
      <c r="B59" s="228" t="s">
        <v>676</v>
      </c>
      <c r="C59" s="228" t="str">
        <f t="shared" si="1"/>
        <v>0x43</v>
      </c>
      <c r="D59" s="101" t="s">
        <v>517</v>
      </c>
      <c r="E59" s="101" t="s">
        <v>588</v>
      </c>
      <c r="F59" s="101" t="s">
        <v>546</v>
      </c>
      <c r="G59">
        <v>56</v>
      </c>
    </row>
    <row r="60" spans="1:7" ht="12.75">
      <c r="A60" s="228" t="str">
        <f t="shared" si="0"/>
        <v>ARG4_2</v>
      </c>
      <c r="B60" s="228" t="s">
        <v>677</v>
      </c>
      <c r="C60" s="228" t="str">
        <f t="shared" si="1"/>
        <v>0x44</v>
      </c>
      <c r="D60" s="101" t="s">
        <v>518</v>
      </c>
      <c r="E60" s="101" t="s">
        <v>589</v>
      </c>
      <c r="F60" s="101" t="s">
        <v>549</v>
      </c>
      <c r="G60">
        <v>57</v>
      </c>
    </row>
    <row r="61" spans="1:7" ht="12.75">
      <c r="A61" s="228" t="str">
        <f t="shared" si="0"/>
        <v>ARG4_1</v>
      </c>
      <c r="B61" s="228" t="s">
        <v>678</v>
      </c>
      <c r="C61" s="228" t="str">
        <f t="shared" si="1"/>
        <v>0x45</v>
      </c>
      <c r="D61" s="101" t="s">
        <v>519</v>
      </c>
      <c r="E61" s="101" t="s">
        <v>590</v>
      </c>
      <c r="F61" s="101" t="s">
        <v>546</v>
      </c>
      <c r="G61">
        <v>58</v>
      </c>
    </row>
    <row r="62" spans="1:7" ht="12.75">
      <c r="A62" s="228" t="str">
        <f t="shared" si="0"/>
        <v>ARG4_0</v>
      </c>
      <c r="B62" s="228" t="s">
        <v>679</v>
      </c>
      <c r="C62" s="228" t="str">
        <f t="shared" si="1"/>
        <v>0x46</v>
      </c>
      <c r="D62" s="101" t="s">
        <v>520</v>
      </c>
      <c r="E62" s="101" t="s">
        <v>591</v>
      </c>
      <c r="F62" s="101" t="s">
        <v>548</v>
      </c>
      <c r="G62">
        <v>59</v>
      </c>
    </row>
    <row r="63" spans="3:7" ht="12.75">
      <c r="C63" s="228" t="str">
        <f t="shared" si="1"/>
        <v>0x47</v>
      </c>
      <c r="D63" s="101" t="s">
        <v>469</v>
      </c>
      <c r="E63" s="101" t="s">
        <v>592</v>
      </c>
      <c r="F63" s="101" t="s">
        <v>526</v>
      </c>
      <c r="G63">
        <v>60</v>
      </c>
    </row>
    <row r="64" spans="1:7" ht="12.75">
      <c r="A64" s="228"/>
      <c r="B64" s="228"/>
      <c r="C64" s="228" t="str">
        <f t="shared" si="1"/>
        <v>0x48</v>
      </c>
      <c r="E64" s="101" t="s">
        <v>593</v>
      </c>
      <c r="G64">
        <v>61</v>
      </c>
    </row>
    <row r="65" spans="1:7" ht="12.75">
      <c r="A65" s="228"/>
      <c r="B65" s="228"/>
      <c r="C65" s="228" t="str">
        <f t="shared" si="1"/>
        <v>0x49</v>
      </c>
      <c r="E65" s="101" t="s">
        <v>594</v>
      </c>
      <c r="G65">
        <v>62</v>
      </c>
    </row>
    <row r="66" spans="1:7" ht="12.75">
      <c r="A66" s="228"/>
      <c r="B66" s="228"/>
      <c r="C66" s="228" t="str">
        <f t="shared" si="1"/>
        <v>0x4A</v>
      </c>
      <c r="E66" s="101" t="s">
        <v>600</v>
      </c>
      <c r="G66">
        <v>63</v>
      </c>
    </row>
    <row r="67" spans="1:7" ht="12.75">
      <c r="A67" s="228"/>
      <c r="B67" s="228"/>
      <c r="C67" s="228" t="str">
        <f t="shared" si="1"/>
        <v>0x4B</v>
      </c>
      <c r="E67" s="101" t="s">
        <v>595</v>
      </c>
      <c r="G67">
        <v>64</v>
      </c>
    </row>
    <row r="68" spans="1:7" ht="12.75">
      <c r="A68" s="228"/>
      <c r="B68" s="228"/>
      <c r="C68" s="228" t="str">
        <f t="shared" si="1"/>
        <v>0x4C</v>
      </c>
      <c r="E68" s="101" t="s">
        <v>596</v>
      </c>
      <c r="G68">
        <v>65</v>
      </c>
    </row>
    <row r="69" spans="1:7" ht="12.75">
      <c r="A69" s="228"/>
      <c r="B69" s="228"/>
      <c r="C69" s="228" t="str">
        <f>E69</f>
        <v>0x4D</v>
      </c>
      <c r="E69" s="101" t="s">
        <v>597</v>
      </c>
      <c r="G69">
        <v>66</v>
      </c>
    </row>
    <row r="70" spans="1:7" ht="12.75">
      <c r="A70" s="228"/>
      <c r="B70" s="228"/>
      <c r="C70" s="228" t="str">
        <f>E70</f>
        <v>0x4E</v>
      </c>
      <c r="E70" s="101" t="s">
        <v>598</v>
      </c>
      <c r="G70">
        <v>67</v>
      </c>
    </row>
    <row r="71" spans="1:7" ht="12.75">
      <c r="A71" s="228"/>
      <c r="B71" s="228"/>
      <c r="C71" s="228" t="str">
        <f>E71</f>
        <v>0x4F</v>
      </c>
      <c r="E71" s="101" t="s">
        <v>599</v>
      </c>
      <c r="G71">
        <v>68</v>
      </c>
    </row>
    <row r="72" spans="1:3" ht="12.75">
      <c r="A72" s="228"/>
      <c r="B72" s="228"/>
      <c r="C72" s="228"/>
    </row>
    <row r="73" spans="1:3" ht="12.75">
      <c r="A73" s="228"/>
      <c r="B73" s="228"/>
      <c r="C73" s="228"/>
    </row>
    <row r="74" spans="1:7" ht="12.75">
      <c r="A74" s="228" t="str">
        <f t="shared" si="0"/>
        <v>SAVE_STATUS</v>
      </c>
      <c r="B74" s="228" t="s">
        <v>687</v>
      </c>
      <c r="C74" s="228" t="s">
        <v>624</v>
      </c>
      <c r="D74" s="101" t="s">
        <v>521</v>
      </c>
      <c r="F74" s="101" t="s">
        <v>550</v>
      </c>
      <c r="G74">
        <v>61</v>
      </c>
    </row>
    <row r="75" spans="1:7" ht="12.75">
      <c r="A75" s="228" t="str">
        <f t="shared" si="0"/>
        <v>SAVE_W_REG</v>
      </c>
      <c r="B75" s="228" t="s">
        <v>686</v>
      </c>
      <c r="C75" s="228" t="s">
        <v>623</v>
      </c>
      <c r="D75" s="101" t="s">
        <v>470</v>
      </c>
      <c r="F75" s="101" t="s">
        <v>526</v>
      </c>
      <c r="G75">
        <v>62</v>
      </c>
    </row>
    <row r="76" spans="1:7" ht="12.75">
      <c r="A76" s="228">
        <f t="shared" si="0"/>
      </c>
      <c r="B76" s="228"/>
      <c r="C76" s="228"/>
      <c r="F76" s="101" t="s">
        <v>526</v>
      </c>
      <c r="G76">
        <v>63</v>
      </c>
    </row>
    <row r="77" spans="1:7" ht="12.75">
      <c r="A77" s="228">
        <f t="shared" si="0"/>
      </c>
      <c r="B77" s="228"/>
      <c r="C77" s="228"/>
      <c r="F77" s="101" t="s">
        <v>526</v>
      </c>
      <c r="G77">
        <v>64</v>
      </c>
    </row>
    <row r="78" spans="1:7" ht="12.75">
      <c r="A78" s="228">
        <f t="shared" si="0"/>
      </c>
      <c r="B78" s="228"/>
      <c r="C78" s="228"/>
      <c r="F78" s="101" t="s">
        <v>526</v>
      </c>
      <c r="G78">
        <v>65</v>
      </c>
    </row>
    <row r="79" spans="1:7" ht="12.75">
      <c r="A79" s="228">
        <f>TRIM(D79)</f>
      </c>
      <c r="B79" s="228"/>
      <c r="C79" s="228"/>
      <c r="F79" s="101" t="s">
        <v>526</v>
      </c>
      <c r="G79">
        <v>66</v>
      </c>
    </row>
    <row r="80" spans="1:7" ht="12.75">
      <c r="A80" s="228">
        <f>TRIM(D80)</f>
      </c>
      <c r="B80" s="228"/>
      <c r="C80" s="228"/>
      <c r="F80" s="101" t="s">
        <v>526</v>
      </c>
      <c r="G80">
        <v>67</v>
      </c>
    </row>
    <row r="81" spans="1:7" ht="12.75">
      <c r="A81" s="228">
        <f>TRIM(D81)</f>
      </c>
      <c r="B81" s="228"/>
      <c r="C81" s="228"/>
      <c r="F81" s="101" t="s">
        <v>618</v>
      </c>
      <c r="G81">
        <v>68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 transitionEvaluation="1" transitionEntry="1">
    <pageSetUpPr fitToPage="1"/>
  </sheetPr>
  <dimension ref="A1:K32"/>
  <sheetViews>
    <sheetView showGridLines="0" workbookViewId="0" topLeftCell="A1">
      <selection activeCell="B18" sqref="B18"/>
    </sheetView>
  </sheetViews>
  <sheetFormatPr defaultColWidth="12.140625" defaultRowHeight="12.75"/>
  <cols>
    <col min="1" max="2" width="12.421875" style="131" customWidth="1"/>
    <col min="3" max="3" width="22.00390625" style="131" customWidth="1"/>
    <col min="4" max="4" width="15.00390625" style="131" customWidth="1"/>
    <col min="5" max="5" width="11.57421875" style="131" customWidth="1"/>
    <col min="6" max="6" width="15.28125" style="131" customWidth="1"/>
    <col min="7" max="7" width="11.8515625" style="131" customWidth="1"/>
    <col min="8" max="8" width="15.00390625" style="131" customWidth="1"/>
    <col min="9" max="9" width="11.8515625" style="131" customWidth="1"/>
    <col min="10" max="10" width="12.8515625" style="131" customWidth="1"/>
    <col min="11" max="11" width="12.57421875" style="131" customWidth="1"/>
    <col min="12" max="16384" width="10.28125" style="131" customWidth="1"/>
  </cols>
  <sheetData>
    <row r="1" spans="1:5" ht="12">
      <c r="A1" s="128" t="s">
        <v>402</v>
      </c>
      <c r="B1" s="129" t="s">
        <v>403</v>
      </c>
      <c r="C1" s="130"/>
      <c r="D1" s="130" t="s">
        <v>404</v>
      </c>
      <c r="E1" s="130" t="s">
        <v>405</v>
      </c>
    </row>
    <row r="2" spans="1:5" ht="12.75" thickBot="1">
      <c r="A2" s="128" t="s">
        <v>406</v>
      </c>
      <c r="B2" s="132" t="s">
        <v>407</v>
      </c>
      <c r="C2" s="130"/>
      <c r="E2" s="133"/>
    </row>
    <row r="3" spans="1:6" ht="12.75" thickBot="1">
      <c r="A3" s="128"/>
      <c r="B3" s="134">
        <v>250</v>
      </c>
      <c r="C3" s="135"/>
      <c r="D3" s="134">
        <v>10</v>
      </c>
      <c r="E3" s="136">
        <v>61</v>
      </c>
      <c r="F3" s="128"/>
    </row>
    <row r="4" spans="1:4" ht="12.75" thickBot="1">
      <c r="A4" s="134">
        <v>4000000</v>
      </c>
      <c r="B4" s="137">
        <f>+A9*B3</f>
        <v>0.00025</v>
      </c>
      <c r="C4" s="128"/>
      <c r="D4" s="133"/>
    </row>
    <row r="5" spans="1:4" ht="12.75" thickBot="1">
      <c r="A5" s="135"/>
      <c r="B5" s="138"/>
      <c r="C5" s="138"/>
      <c r="D5" s="133"/>
    </row>
    <row r="6" spans="1:6" ht="12">
      <c r="A6" s="128" t="s">
        <v>408</v>
      </c>
      <c r="B6" s="129" t="s">
        <v>409</v>
      </c>
      <c r="C6" s="139" t="s">
        <v>410</v>
      </c>
      <c r="D6" s="129" t="s">
        <v>411</v>
      </c>
      <c r="E6" s="139" t="s">
        <v>412</v>
      </c>
      <c r="F6" s="133"/>
    </row>
    <row r="7" spans="1:6" ht="12">
      <c r="A7" s="128" t="s">
        <v>400</v>
      </c>
      <c r="B7" s="132" t="s">
        <v>410</v>
      </c>
      <c r="C7" s="140" t="s">
        <v>413</v>
      </c>
      <c r="D7" s="141" t="s">
        <v>414</v>
      </c>
      <c r="E7" s="140" t="s">
        <v>415</v>
      </c>
      <c r="F7" s="133"/>
    </row>
    <row r="8" spans="1:5" ht="12">
      <c r="A8" s="128"/>
      <c r="B8" s="141"/>
      <c r="C8" s="140"/>
      <c r="D8" s="140"/>
      <c r="E8" s="140"/>
    </row>
    <row r="9" spans="1:5" ht="12.75" thickBot="1">
      <c r="A9" s="138">
        <f>(+1/A4)*4</f>
        <v>1E-06</v>
      </c>
      <c r="B9" s="142">
        <f>+B4*256</f>
        <v>0.064</v>
      </c>
      <c r="C9" s="143">
        <f>(256-E3)*(B4)</f>
        <v>0.04875</v>
      </c>
      <c r="D9" s="144">
        <f>+D3/B9</f>
        <v>156.25</v>
      </c>
      <c r="E9" s="145">
        <f>+D3/C9</f>
        <v>205.1282051282051</v>
      </c>
    </row>
    <row r="10" ht="12">
      <c r="D10" s="133"/>
    </row>
    <row r="11" spans="4:6" ht="12">
      <c r="D11" s="133"/>
      <c r="E11" s="133"/>
      <c r="F11" s="133"/>
    </row>
    <row r="12" spans="4:6" ht="12.75" thickBot="1">
      <c r="D12" s="133"/>
      <c r="E12" s="133"/>
      <c r="F12" s="133"/>
    </row>
    <row r="13" spans="3:8" ht="12.75" thickBot="1">
      <c r="C13" s="146" t="s">
        <v>416</v>
      </c>
      <c r="D13" s="147">
        <v>20</v>
      </c>
      <c r="E13" s="148" t="s">
        <v>75</v>
      </c>
      <c r="F13" s="146" t="s">
        <v>396</v>
      </c>
      <c r="G13" s="149">
        <f>4/(D13)</f>
        <v>0.2</v>
      </c>
      <c r="H13" s="148" t="s">
        <v>393</v>
      </c>
    </row>
    <row r="14" spans="3:8" ht="12.75" thickBot="1">
      <c r="C14" s="146" t="s">
        <v>417</v>
      </c>
      <c r="D14" s="147">
        <v>2</v>
      </c>
      <c r="E14" s="148"/>
      <c r="F14" s="146" t="s">
        <v>418</v>
      </c>
      <c r="G14" s="149">
        <f>G13*D14</f>
        <v>0.4</v>
      </c>
      <c r="H14" s="148"/>
    </row>
    <row r="15" spans="3:5" ht="12.75" thickBot="1">
      <c r="C15" s="146" t="s">
        <v>419</v>
      </c>
      <c r="D15" s="147">
        <v>6</v>
      </c>
      <c r="E15" s="148"/>
    </row>
    <row r="16" spans="1:11" ht="12.75" thickBot="1">
      <c r="A16" s="133"/>
      <c r="C16" s="146" t="s">
        <v>420</v>
      </c>
      <c r="D16" s="147">
        <v>25</v>
      </c>
      <c r="E16" s="150" t="s">
        <v>421</v>
      </c>
      <c r="F16" s="151">
        <f>D16*G14</f>
        <v>10</v>
      </c>
      <c r="G16" s="152" t="s">
        <v>393</v>
      </c>
      <c r="H16" s="153" t="s">
        <v>422</v>
      </c>
      <c r="I16" s="153" t="s">
        <v>423</v>
      </c>
      <c r="J16" s="154"/>
      <c r="K16" s="155"/>
    </row>
    <row r="17" spans="1:11" ht="12.75" thickBot="1">
      <c r="A17" s="133"/>
      <c r="C17" s="156"/>
      <c r="D17" s="157" t="s">
        <v>424</v>
      </c>
      <c r="E17" s="133"/>
      <c r="F17" s="157"/>
      <c r="G17" s="133"/>
      <c r="H17" s="157"/>
      <c r="I17" s="133"/>
      <c r="J17" s="157" t="s">
        <v>425</v>
      </c>
      <c r="K17" s="158"/>
    </row>
    <row r="18" spans="3:11" ht="12">
      <c r="C18" s="156"/>
      <c r="D18" s="159"/>
      <c r="E18" s="133"/>
      <c r="F18" s="160"/>
      <c r="G18" s="160"/>
      <c r="H18" s="160"/>
      <c r="I18" s="160"/>
      <c r="J18" s="160"/>
      <c r="K18" s="158"/>
    </row>
    <row r="19" spans="3:11" ht="12.75" thickBot="1">
      <c r="C19" s="161"/>
      <c r="D19" s="162"/>
      <c r="E19" s="163"/>
      <c r="F19" s="160"/>
      <c r="G19" s="163"/>
      <c r="H19" s="160"/>
      <c r="I19" s="163"/>
      <c r="J19" s="160"/>
      <c r="K19" s="158"/>
    </row>
    <row r="20" spans="3:11" ht="12">
      <c r="C20" s="156"/>
      <c r="D20" s="133"/>
      <c r="E20" s="133"/>
      <c r="F20" s="133"/>
      <c r="G20" s="133"/>
      <c r="H20" s="133"/>
      <c r="I20" s="133"/>
      <c r="J20" s="133"/>
      <c r="K20" s="158"/>
    </row>
    <row r="21" spans="3:11" ht="12.75" thickBot="1">
      <c r="C21" s="156" t="s">
        <v>426</v>
      </c>
      <c r="D21" s="133" t="s">
        <v>427</v>
      </c>
      <c r="E21" s="133" t="s">
        <v>428</v>
      </c>
      <c r="F21" s="133" t="s">
        <v>427</v>
      </c>
      <c r="G21" s="133" t="s">
        <v>428</v>
      </c>
      <c r="H21" s="133" t="s">
        <v>427</v>
      </c>
      <c r="I21" s="133" t="s">
        <v>428</v>
      </c>
      <c r="J21" s="133" t="s">
        <v>429</v>
      </c>
      <c r="K21" s="158"/>
    </row>
    <row r="22" spans="3:11" ht="12.75" thickBot="1">
      <c r="C22" s="146" t="s">
        <v>430</v>
      </c>
      <c r="D22" s="164">
        <v>1</v>
      </c>
      <c r="E22" s="165"/>
      <c r="F22" s="166">
        <v>2</v>
      </c>
      <c r="G22" s="167"/>
      <c r="H22" s="168">
        <v>3</v>
      </c>
      <c r="I22" s="169"/>
      <c r="J22" s="170">
        <f>MAX(H22:I22)</f>
        <v>3</v>
      </c>
      <c r="K22" s="171" t="s">
        <v>431</v>
      </c>
    </row>
    <row r="23" spans="3:11" ht="12">
      <c r="C23" s="156"/>
      <c r="D23" s="133"/>
      <c r="E23" s="133"/>
      <c r="F23" s="133"/>
      <c r="G23" s="133"/>
      <c r="H23" s="133"/>
      <c r="I23" s="133"/>
      <c r="J23" s="133"/>
      <c r="K23" s="158"/>
    </row>
    <row r="24" spans="3:11" ht="12.75" thickBot="1">
      <c r="C24" s="172" t="s">
        <v>432</v>
      </c>
      <c r="D24" s="173" t="s">
        <v>433</v>
      </c>
      <c r="E24" s="173" t="s">
        <v>433</v>
      </c>
      <c r="F24" s="173" t="s">
        <v>433</v>
      </c>
      <c r="G24" s="173" t="s">
        <v>433</v>
      </c>
      <c r="H24" s="173" t="s">
        <v>433</v>
      </c>
      <c r="I24" s="173" t="s">
        <v>434</v>
      </c>
      <c r="J24" s="133" t="s">
        <v>435</v>
      </c>
      <c r="K24" s="158"/>
    </row>
    <row r="25" spans="3:11" ht="12">
      <c r="C25" s="156" t="s">
        <v>436</v>
      </c>
      <c r="D25" s="133"/>
      <c r="E25" s="133"/>
      <c r="F25" s="133"/>
      <c r="G25" s="133"/>
      <c r="H25" s="133"/>
      <c r="I25" s="133"/>
      <c r="J25" s="174">
        <v>0.2</v>
      </c>
      <c r="K25" s="158" t="s">
        <v>393</v>
      </c>
    </row>
    <row r="26" spans="3:11" ht="12">
      <c r="C26" s="156" t="s">
        <v>437</v>
      </c>
      <c r="D26" s="175">
        <v>13</v>
      </c>
      <c r="E26" s="133"/>
      <c r="F26" s="176">
        <v>26</v>
      </c>
      <c r="G26" s="133"/>
      <c r="H26" s="177">
        <v>39</v>
      </c>
      <c r="I26" s="133"/>
      <c r="J26" s="174">
        <f>MAX(D26:I26)</f>
        <v>39</v>
      </c>
      <c r="K26" s="158" t="s">
        <v>438</v>
      </c>
    </row>
    <row r="27" spans="3:11" ht="12">
      <c r="C27" s="156" t="s">
        <v>439</v>
      </c>
      <c r="D27" s="133"/>
      <c r="E27" s="175">
        <v>10</v>
      </c>
      <c r="F27" s="133"/>
      <c r="G27" s="176">
        <v>20</v>
      </c>
      <c r="H27" s="133"/>
      <c r="I27" s="177">
        <v>30</v>
      </c>
      <c r="J27" s="174">
        <f>MAX(D27:I27)</f>
        <v>30</v>
      </c>
      <c r="K27" s="158" t="s">
        <v>438</v>
      </c>
    </row>
    <row r="28" spans="3:11" ht="12.75" thickBot="1">
      <c r="C28" s="156" t="s">
        <v>440</v>
      </c>
      <c r="D28" s="178">
        <v>0</v>
      </c>
      <c r="E28" s="178">
        <v>2</v>
      </c>
      <c r="F28" s="178">
        <v>3</v>
      </c>
      <c r="G28" s="178">
        <v>3</v>
      </c>
      <c r="H28" s="178">
        <v>2</v>
      </c>
      <c r="I28" s="178">
        <v>3</v>
      </c>
      <c r="J28" s="174">
        <f>SUM(D28:I28)</f>
        <v>13</v>
      </c>
      <c r="K28" s="158" t="s">
        <v>441</v>
      </c>
    </row>
    <row r="29" spans="3:11" ht="12.75" thickBot="1">
      <c r="C29" s="179" t="s">
        <v>442</v>
      </c>
      <c r="D29" s="133"/>
      <c r="E29" s="133"/>
      <c r="F29" s="133"/>
      <c r="G29" s="133"/>
      <c r="H29" s="133"/>
      <c r="I29" s="133"/>
      <c r="J29" s="180">
        <f>((CptH+CptB)*IT+Reste*tics)/NbPer</f>
        <v>231.73333333333335</v>
      </c>
      <c r="K29" s="181" t="s">
        <v>393</v>
      </c>
    </row>
    <row r="30" spans="3:11" ht="12.75" thickBot="1">
      <c r="C30" s="156" t="s">
        <v>443</v>
      </c>
      <c r="D30" s="133"/>
      <c r="E30" s="133"/>
      <c r="F30" s="133"/>
      <c r="G30" s="133"/>
      <c r="H30" s="133"/>
      <c r="I30" s="133"/>
      <c r="J30" s="182">
        <f>1000000/J29</f>
        <v>4315.304948216341</v>
      </c>
      <c r="K30" s="181" t="s">
        <v>444</v>
      </c>
    </row>
    <row r="31" spans="3:11" ht="12">
      <c r="C31" s="156"/>
      <c r="D31" s="133"/>
      <c r="E31" s="133"/>
      <c r="F31" s="133"/>
      <c r="G31" s="133"/>
      <c r="H31" s="133"/>
      <c r="I31" s="133"/>
      <c r="J31" s="133"/>
      <c r="K31" s="158"/>
    </row>
    <row r="32" spans="3:11" ht="12.75" thickBot="1">
      <c r="C32" s="183"/>
      <c r="D32" s="157"/>
      <c r="E32" s="157"/>
      <c r="F32" s="157"/>
      <c r="G32" s="157"/>
      <c r="H32" s="157"/>
      <c r="I32" s="157"/>
      <c r="J32" s="157"/>
      <c r="K32" s="184"/>
    </row>
  </sheetData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orientation="landscape" paperSize="9" r:id="rId2"/>
  <headerFooter alignWithMargins="0">
    <oddHeader>&amp;L&amp;F    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 transitionEvaluation="1" transitionEntry="1">
    <pageSetUpPr fitToPage="1"/>
  </sheetPr>
  <dimension ref="A1:J23"/>
  <sheetViews>
    <sheetView showGridLines="0" workbookViewId="0" topLeftCell="A1">
      <selection activeCell="C30" sqref="C30"/>
    </sheetView>
  </sheetViews>
  <sheetFormatPr defaultColWidth="12.140625" defaultRowHeight="12.75"/>
  <cols>
    <col min="1" max="1" width="4.57421875" style="131" customWidth="1"/>
    <col min="2" max="2" width="22.00390625" style="131" customWidth="1"/>
    <col min="3" max="3" width="15.00390625" style="131" customWidth="1"/>
    <col min="4" max="4" width="11.57421875" style="131" customWidth="1"/>
    <col min="5" max="5" width="15.28125" style="131" customWidth="1"/>
    <col min="6" max="6" width="11.8515625" style="131" customWidth="1"/>
    <col min="7" max="7" width="15.00390625" style="131" customWidth="1"/>
    <col min="8" max="8" width="11.8515625" style="131" customWidth="1"/>
    <col min="9" max="9" width="12.8515625" style="131" customWidth="1"/>
    <col min="10" max="10" width="12.57421875" style="131" customWidth="1"/>
    <col min="11" max="16384" width="10.28125" style="131" customWidth="1"/>
  </cols>
  <sheetData>
    <row r="1" spans="1:5" ht="12.75">
      <c r="A1"/>
      <c r="B1"/>
      <c r="C1"/>
      <c r="D1"/>
      <c r="E1"/>
    </row>
    <row r="2" spans="2:5" ht="15.75">
      <c r="B2" s="202" t="s">
        <v>457</v>
      </c>
      <c r="C2" s="133"/>
      <c r="D2" s="133"/>
      <c r="E2" s="133"/>
    </row>
    <row r="3" spans="3:5" ht="12.75" thickBot="1">
      <c r="C3" s="133"/>
      <c r="D3" s="133"/>
      <c r="E3" s="133"/>
    </row>
    <row r="4" spans="2:7" ht="12.75" thickBot="1">
      <c r="B4" s="146" t="s">
        <v>416</v>
      </c>
      <c r="C4" s="147">
        <v>20</v>
      </c>
      <c r="D4" s="148" t="s">
        <v>75</v>
      </c>
      <c r="E4" s="146" t="s">
        <v>396</v>
      </c>
      <c r="F4" s="149">
        <f>4/(C4)</f>
        <v>0.2</v>
      </c>
      <c r="G4" s="148" t="s">
        <v>393</v>
      </c>
    </row>
    <row r="5" spans="2:7" ht="12.75" thickBot="1">
      <c r="B5" s="146" t="s">
        <v>417</v>
      </c>
      <c r="C5" s="147">
        <v>2</v>
      </c>
      <c r="D5" s="148"/>
      <c r="E5" s="146" t="s">
        <v>418</v>
      </c>
      <c r="F5" s="149">
        <f>F4*C5</f>
        <v>0.4</v>
      </c>
      <c r="G5" s="148"/>
    </row>
    <row r="6" spans="2:4" ht="12.75" thickBot="1">
      <c r="B6" s="146" t="s">
        <v>419</v>
      </c>
      <c r="C6" s="147">
        <v>6</v>
      </c>
      <c r="D6" s="148"/>
    </row>
    <row r="7" spans="2:10" ht="12.75" thickBot="1">
      <c r="B7" s="146" t="s">
        <v>420</v>
      </c>
      <c r="C7" s="147">
        <v>25</v>
      </c>
      <c r="D7" s="150" t="s">
        <v>421</v>
      </c>
      <c r="E7" s="151">
        <f>C7*F5</f>
        <v>10</v>
      </c>
      <c r="F7" s="152" t="s">
        <v>393</v>
      </c>
      <c r="G7" s="153" t="s">
        <v>422</v>
      </c>
      <c r="H7" s="153" t="s">
        <v>423</v>
      </c>
      <c r="I7" s="154"/>
      <c r="J7" s="155"/>
    </row>
    <row r="8" spans="2:10" ht="12.75" thickBot="1">
      <c r="B8" s="156"/>
      <c r="C8" s="157" t="s">
        <v>424</v>
      </c>
      <c r="D8" s="133"/>
      <c r="E8" s="157"/>
      <c r="F8" s="133"/>
      <c r="G8" s="157"/>
      <c r="H8" s="133"/>
      <c r="I8" s="157" t="s">
        <v>425</v>
      </c>
      <c r="J8" s="158"/>
    </row>
    <row r="9" spans="2:10" ht="12">
      <c r="B9" s="156"/>
      <c r="C9" s="159"/>
      <c r="D9" s="133"/>
      <c r="E9" s="160"/>
      <c r="F9" s="160"/>
      <c r="G9" s="160"/>
      <c r="H9" s="160"/>
      <c r="I9" s="160"/>
      <c r="J9" s="158"/>
    </row>
    <row r="10" spans="2:10" ht="12.75" thickBot="1">
      <c r="B10" s="161"/>
      <c r="C10" s="162"/>
      <c r="D10" s="163"/>
      <c r="E10" s="160"/>
      <c r="F10" s="163"/>
      <c r="G10" s="160"/>
      <c r="H10" s="163"/>
      <c r="I10" s="160"/>
      <c r="J10" s="158"/>
    </row>
    <row r="11" spans="2:10" ht="12">
      <c r="B11" s="156"/>
      <c r="C11" s="133"/>
      <c r="D11" s="133"/>
      <c r="E11" s="133"/>
      <c r="F11" s="133"/>
      <c r="G11" s="133"/>
      <c r="H11" s="133"/>
      <c r="I11" s="133"/>
      <c r="J11" s="158"/>
    </row>
    <row r="12" spans="2:10" ht="12.75" thickBot="1">
      <c r="B12" s="156" t="s">
        <v>426</v>
      </c>
      <c r="C12" s="133" t="s">
        <v>427</v>
      </c>
      <c r="D12" s="133" t="s">
        <v>428</v>
      </c>
      <c r="E12" s="133" t="s">
        <v>427</v>
      </c>
      <c r="F12" s="133" t="s">
        <v>428</v>
      </c>
      <c r="G12" s="133" t="s">
        <v>427</v>
      </c>
      <c r="H12" s="133" t="s">
        <v>428</v>
      </c>
      <c r="I12" s="133" t="s">
        <v>429</v>
      </c>
      <c r="J12" s="158"/>
    </row>
    <row r="13" spans="2:10" ht="12.75" thickBot="1">
      <c r="B13" s="146" t="s">
        <v>430</v>
      </c>
      <c r="C13" s="164">
        <v>1</v>
      </c>
      <c r="D13" s="165"/>
      <c r="E13" s="166">
        <v>2</v>
      </c>
      <c r="F13" s="167"/>
      <c r="G13" s="168">
        <v>3</v>
      </c>
      <c r="H13" s="169"/>
      <c r="I13" s="170">
        <f>MAX(G13:H13)</f>
        <v>3</v>
      </c>
      <c r="J13" s="171" t="s">
        <v>431</v>
      </c>
    </row>
    <row r="14" spans="2:10" ht="12">
      <c r="B14" s="156"/>
      <c r="C14" s="133"/>
      <c r="D14" s="133"/>
      <c r="E14" s="133"/>
      <c r="F14" s="133"/>
      <c r="G14" s="133"/>
      <c r="H14" s="133"/>
      <c r="I14" s="133"/>
      <c r="J14" s="158"/>
    </row>
    <row r="15" spans="2:10" ht="12.75" thickBot="1">
      <c r="B15" s="172" t="s">
        <v>432</v>
      </c>
      <c r="C15" s="173" t="s">
        <v>433</v>
      </c>
      <c r="D15" s="173" t="s">
        <v>433</v>
      </c>
      <c r="E15" s="173" t="s">
        <v>433</v>
      </c>
      <c r="F15" s="173" t="s">
        <v>433</v>
      </c>
      <c r="G15" s="173" t="s">
        <v>433</v>
      </c>
      <c r="H15" s="173" t="s">
        <v>434</v>
      </c>
      <c r="I15" s="133" t="s">
        <v>435</v>
      </c>
      <c r="J15" s="158"/>
    </row>
    <row r="16" spans="2:10" ht="12">
      <c r="B16" s="156" t="s">
        <v>436</v>
      </c>
      <c r="C16" s="133"/>
      <c r="D16" s="133"/>
      <c r="E16" s="133"/>
      <c r="F16" s="133"/>
      <c r="G16" s="133"/>
      <c r="H16" s="133"/>
      <c r="I16" s="174">
        <v>0.2</v>
      </c>
      <c r="J16" s="158" t="s">
        <v>393</v>
      </c>
    </row>
    <row r="17" spans="2:10" ht="12">
      <c r="B17" s="156" t="s">
        <v>437</v>
      </c>
      <c r="C17" s="175">
        <v>13</v>
      </c>
      <c r="D17" s="133"/>
      <c r="E17" s="176">
        <v>26</v>
      </c>
      <c r="F17" s="133"/>
      <c r="G17" s="177">
        <v>39</v>
      </c>
      <c r="H17" s="133"/>
      <c r="I17" s="174">
        <f>MAX(C17:H17)</f>
        <v>39</v>
      </c>
      <c r="J17" s="158" t="s">
        <v>438</v>
      </c>
    </row>
    <row r="18" spans="2:10" ht="12">
      <c r="B18" s="156" t="s">
        <v>439</v>
      </c>
      <c r="C18" s="133"/>
      <c r="D18" s="175">
        <v>10</v>
      </c>
      <c r="E18" s="133"/>
      <c r="F18" s="176">
        <v>20</v>
      </c>
      <c r="G18" s="133"/>
      <c r="H18" s="177">
        <v>30</v>
      </c>
      <c r="I18" s="174">
        <f>MAX(C18:H18)</f>
        <v>30</v>
      </c>
      <c r="J18" s="158" t="s">
        <v>438</v>
      </c>
    </row>
    <row r="19" spans="2:10" ht="12.75" thickBot="1">
      <c r="B19" s="156" t="s">
        <v>440</v>
      </c>
      <c r="C19" s="178">
        <v>0</v>
      </c>
      <c r="D19" s="178">
        <v>2</v>
      </c>
      <c r="E19" s="178">
        <v>3</v>
      </c>
      <c r="F19" s="178">
        <v>3</v>
      </c>
      <c r="G19" s="178">
        <v>2</v>
      </c>
      <c r="H19" s="178">
        <v>3</v>
      </c>
      <c r="I19" s="174">
        <f>SUM(C19:H19)</f>
        <v>13</v>
      </c>
      <c r="J19" s="158" t="s">
        <v>441</v>
      </c>
    </row>
    <row r="20" spans="2:10" ht="12.75" thickBot="1">
      <c r="B20" s="179" t="s">
        <v>442</v>
      </c>
      <c r="C20" s="133"/>
      <c r="D20" s="133"/>
      <c r="E20" s="133"/>
      <c r="F20" s="133"/>
      <c r="G20" s="133"/>
      <c r="H20" s="133"/>
      <c r="I20" s="180">
        <f>((CptH+CptB)*IT+Reste*tics)/NbPer</f>
        <v>231.73333333333335</v>
      </c>
      <c r="J20" s="181" t="s">
        <v>393</v>
      </c>
    </row>
    <row r="21" spans="2:10" ht="12.75" thickBot="1">
      <c r="B21" s="156" t="s">
        <v>443</v>
      </c>
      <c r="C21" s="133"/>
      <c r="D21" s="133"/>
      <c r="E21" s="133"/>
      <c r="F21" s="133"/>
      <c r="G21" s="133"/>
      <c r="H21" s="133"/>
      <c r="I21" s="182">
        <f>1000000/I20</f>
        <v>4315.304948216341</v>
      </c>
      <c r="J21" s="181" t="s">
        <v>444</v>
      </c>
    </row>
    <row r="22" spans="2:10" ht="12">
      <c r="B22" s="156"/>
      <c r="C22" s="133"/>
      <c r="D22" s="133"/>
      <c r="E22" s="133"/>
      <c r="F22" s="133"/>
      <c r="G22" s="133"/>
      <c r="H22" s="133"/>
      <c r="I22" s="133"/>
      <c r="J22" s="158"/>
    </row>
    <row r="23" spans="2:10" ht="12.75" thickBot="1">
      <c r="B23" s="183"/>
      <c r="C23" s="157"/>
      <c r="D23" s="157"/>
      <c r="E23" s="157"/>
      <c r="F23" s="157"/>
      <c r="G23" s="157"/>
      <c r="H23" s="157"/>
      <c r="I23" s="157"/>
      <c r="J23" s="184"/>
    </row>
  </sheetData>
  <printOptions horizontalCentered="1" verticalCentered="1"/>
  <pageMargins left="0.16" right="0.46" top="0.7874015748031497" bottom="0.7874015748031497" header="0.5118110236220472" footer="0.5118110236220472"/>
  <pageSetup fitToHeight="1" fitToWidth="1" orientation="landscape" paperSize="9" r:id="rId2"/>
  <headerFooter alignWithMargins="0">
    <oddHeader>&amp;L&amp;F    &amp;A&amp;R&amp;D</oddHeader>
    <oddFooter>&amp;R&amp;P  / 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FREYER Paul</dc:creator>
  <cp:keywords/>
  <dc:description/>
  <cp:lastModifiedBy>Paul</cp:lastModifiedBy>
  <cp:lastPrinted>2004-09-11T20:27:09Z</cp:lastPrinted>
  <dcterms:created xsi:type="dcterms:W3CDTF">2002-09-30T18:17:21Z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