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3170" activeTab="0"/>
  </bookViews>
  <sheets>
    <sheet name="DDS " sheetId="1" r:id="rId1"/>
  </sheets>
  <externalReferences>
    <externalReference r:id="rId4"/>
    <externalReference r:id="rId5"/>
  </externalReferences>
  <definedNames>
    <definedName name="bin24_bits">'DDS '!$D$44</definedName>
    <definedName name="CptB">#REF!</definedName>
    <definedName name="CptH">#REF!</definedName>
    <definedName name="duree_cycle">'DDS '!$G$55</definedName>
    <definedName name="freqHz">'DDS '!$E$54</definedName>
    <definedName name="IT">#REF!</definedName>
    <definedName name="nb_cycles">'DDS '!$F$51</definedName>
    <definedName name="nb_pas_DAC">'DDS '!$G$51</definedName>
    <definedName name="nb_sinusoides">'DDS '!$E$48</definedName>
    <definedName name="Nboucles">'DDS '!$F$54</definedName>
    <definedName name="NbPer">#REF!</definedName>
    <definedName name="nombre">'DDS '!$D$51</definedName>
    <definedName name="Periode">'DDS '!$E$55</definedName>
    <definedName name="prediv">'[1]PWM'!#REF!</definedName>
    <definedName name="quartz__Mhz">'DDS '!$E$51</definedName>
    <definedName name="quartzMhz">'DDS '!$G$54</definedName>
    <definedName name="Reste">#REF!</definedName>
    <definedName name="TC">'[1]PWM'!#REF!</definedName>
    <definedName name="tics">#REF!</definedName>
    <definedName name="Tosc">'[1]PWM'!#REF!</definedName>
    <definedName name="Tr_de_boucle">'DDS '!$J$51</definedName>
    <definedName name="_xlnm.Print_Area" localSheetId="0">'DDS '!$B$1:$N$76</definedName>
    <definedName name="zone1">'DDS '!$J$3:$K$23</definedName>
  </definedNames>
  <calcPr fullCalcOnLoad="1"/>
</workbook>
</file>

<file path=xl/sharedStrings.xml><?xml version="1.0" encoding="utf-8"?>
<sst xmlns="http://schemas.openxmlformats.org/spreadsheetml/2006/main" count="68" uniqueCount="63">
  <si>
    <t>last update 10 sept 2004</t>
  </si>
  <si>
    <t>quartz =</t>
  </si>
  <si>
    <t>Mhz</t>
  </si>
  <si>
    <t>Hz par point</t>
  </si>
  <si>
    <t>Herz</t>
  </si>
  <si>
    <t>diviseur</t>
  </si>
  <si>
    <t>Startat_H</t>
  </si>
  <si>
    <t>StartAt_M</t>
  </si>
  <si>
    <t>StartAT_L</t>
  </si>
  <si>
    <t>Word 24 bits</t>
  </si>
  <si>
    <t>Hexa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</si>
  <si>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</si>
  <si>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</si>
  <si>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</si>
  <si>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</si>
  <si>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</si>
  <si>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</si>
  <si>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</si>
  <si>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</si>
  <si>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</si>
  <si>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</si>
  <si>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</t>
  </si>
  <si>
    <t>B</t>
  </si>
  <si>
    <t>C</t>
  </si>
  <si>
    <t>D</t>
  </si>
  <si>
    <t>E</t>
  </si>
  <si>
    <t>F</t>
  </si>
  <si>
    <t>24 bits -&gt;</t>
  </si>
  <si>
    <t>="              dt    0x"&amp;GAUCHE(L37;2)&amp;", 0x"&amp;STXT(H37;4;2)&amp;", 0x"&amp;DROITE(L37;2) &amp; "     ;"&amp;CTXT(B37;1;1)&amp;"Hz"</t>
  </si>
  <si>
    <t>=INDEX(zone1;ENT(C20/16)+1;2)&amp;INDEX(zone1;C20-ENT(C20/16)*16+1;2)&amp;INDEX(zone1;ENT(D20/16)+1;2)&amp;INDEX(zone1;D20-ENT(D20/16)*16+1;2)&amp;INDEX(zone1;ENT(E20/16)+1;2)&amp;INDEX(zone1;E20-ENT(E20/16)*16+1;2)</t>
  </si>
  <si>
    <t>nb sinusoides</t>
  </si>
  <si>
    <t xml:space="preserve">nombre </t>
  </si>
  <si>
    <t>quartz (Mhz)</t>
  </si>
  <si>
    <t>Nb instruc</t>
  </si>
  <si>
    <t>nb pas DAC</t>
  </si>
  <si>
    <t>fclock</t>
  </si>
  <si>
    <t>1 boucle en</t>
  </si>
  <si>
    <t>Frequence</t>
  </si>
  <si>
    <t xml:space="preserve"> 2 ^24</t>
  </si>
  <si>
    <t>MHz</t>
  </si>
  <si>
    <t>Nombre</t>
  </si>
  <si>
    <t>Periode</t>
  </si>
  <si>
    <t>µS</t>
  </si>
  <si>
    <t>init compteur</t>
  </si>
  <si>
    <t>comptage maxi 2^ 24</t>
  </si>
  <si>
    <t>nb cycle transfert vers DAC</t>
  </si>
  <si>
    <t>Cpt=Cpt+1</t>
  </si>
  <si>
    <t>µS durée d'un tour</t>
  </si>
  <si>
    <t>T (sec)</t>
  </si>
  <si>
    <t xml:space="preserve"> F (hz)</t>
  </si>
  <si>
    <t>MAXIMA</t>
  </si>
  <si>
    <t>quartz 25Mhz</t>
  </si>
  <si>
    <t>Hz</t>
  </si>
  <si>
    <t>Nb de sinusoides</t>
  </si>
  <si>
    <t>maxi F</t>
  </si>
  <si>
    <t>Nb de pas</t>
  </si>
  <si>
    <t>° angle</t>
  </si>
  <si>
    <t>MINIMA</t>
  </si>
  <si>
    <t>=((nb_sinusoides*quartz__Mhz*1000000/4)/nb_cycles)/bin24_bits</t>
  </si>
  <si>
    <t>pas pour 1Hz</t>
  </si>
  <si>
    <t>decimal</t>
  </si>
  <si>
    <t>output</t>
  </si>
  <si>
    <t>1377F4</t>
  </si>
</sst>
</file>

<file path=xl/styles.xml><?xml version="1.0" encoding="utf-8"?>
<styleSheet xmlns="http://schemas.openxmlformats.org/spreadsheetml/2006/main">
  <numFmts count="8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#,##0\ _F"/>
    <numFmt numFmtId="174" formatCode="0.0%"/>
    <numFmt numFmtId="175" formatCode="0.000"/>
    <numFmt numFmtId="176" formatCode="0.00000"/>
    <numFmt numFmtId="177" formatCode="0.0"/>
    <numFmt numFmtId="178" formatCode="#,##0.0"/>
    <numFmt numFmtId="179" formatCode="#,##0.000"/>
    <numFmt numFmtId="180" formatCode="#,##0.0000"/>
    <numFmt numFmtId="181" formatCode="0.0000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General_)"/>
    <numFmt numFmtId="191" formatCode="0.00E+00_)"/>
    <numFmt numFmtId="192" formatCode="0.0_)"/>
    <numFmt numFmtId="193" formatCode="_-* #,##0.000_-;\-* #,##0.000_-;_-* &quot;-&quot;??_-;_-@_-"/>
    <numFmt numFmtId="194" formatCode="_-* #,##0.0_-;\-* #,##0.0_-;_-* &quot;-&quot;??_-;_-@_-"/>
    <numFmt numFmtId="195" formatCode="_-* #,##0_-;\-* #,##0_-;_-* &quot;-&quot;??_-;_-@_-"/>
    <numFmt numFmtId="196" formatCode="&quot;SFr.&quot;\ #,##0;&quot;SFr.&quot;\ \-#,##0"/>
    <numFmt numFmtId="197" formatCode="&quot;SFr.&quot;\ #,##0;[Red]&quot;SFr.&quot;\ \-#,##0"/>
    <numFmt numFmtId="198" formatCode="&quot;SFr.&quot;\ #,##0.00;&quot;SFr.&quot;\ \-#,##0.00"/>
    <numFmt numFmtId="199" formatCode="&quot;SFr.&quot;\ #,##0.00;[Red]&quot;SFr.&quot;\ \-#,##0.00"/>
    <numFmt numFmtId="200" formatCode="_ &quot;SFr.&quot;\ * #,##0_ ;_ &quot;SFr.&quot;\ * \-#,##0_ ;_ &quot;SFr.&quot;\ * &quot;-&quot;_ ;_ @_ "/>
    <numFmt numFmtId="201" formatCode="_ * #,##0_ ;_ * \-#,##0_ ;_ * &quot;-&quot;_ ;_ @_ "/>
    <numFmt numFmtId="202" formatCode="_ &quot;SFr.&quot;\ * #,##0.00_ ;_ &quot;SFr.&quot;\ * \-#,##0.00_ ;_ &quot;SFr.&quot;\ * &quot;-&quot;??_ ;_ @_ "/>
    <numFmt numFmtId="203" formatCode="_ * #,##0.00_ ;_ * \-#,##0.00_ ;_ * &quot;-&quot;??_ ;_ @_ "/>
    <numFmt numFmtId="204" formatCode="0.000E+00_)"/>
    <numFmt numFmtId="205" formatCode="#,##0_);\(#,##0\)"/>
    <numFmt numFmtId="206" formatCode="0.0000000"/>
    <numFmt numFmtId="207" formatCode="000,000"/>
    <numFmt numFmtId="208" formatCode="00_00_00"/>
    <numFmt numFmtId="209" formatCode="00\^00\^\l00"/>
    <numFmt numFmtId="210" formatCode="0##&quot;/&quot;000&quot; &quot;00&quot; &quot;00"/>
    <numFmt numFmtId="211" formatCode="#,##0\ _€"/>
    <numFmt numFmtId="212" formatCode="0.00000000"/>
    <numFmt numFmtId="213" formatCode="0.00;\us"/>
    <numFmt numFmtId="214" formatCode="0.00;&quot;uS&quot;"/>
    <numFmt numFmtId="215" formatCode="0.00&quot;uS&quot;"/>
    <numFmt numFmtId="216" formatCode="_-* #,##0.0\ _F_-;\-* #,##0.0\ _F_-;_-* &quot;-&quot;??\ _F_-;_-@_-"/>
    <numFmt numFmtId="217" formatCode="0.0;[Red]\-0.00"/>
    <numFmt numFmtId="218" formatCode="0.0;[Red]\-0.0"/>
    <numFmt numFmtId="219" formatCode="0.00&quot;mA&quot;"/>
    <numFmt numFmtId="220" formatCode="0.00\V"/>
    <numFmt numFmtId="221" formatCode="0.0\V"/>
    <numFmt numFmtId="222" formatCode="0\V"/>
    <numFmt numFmtId="223" formatCode="0\°\C"/>
    <numFmt numFmtId="224" formatCode="0.0000000000"/>
    <numFmt numFmtId="225" formatCode="0.00000000000"/>
    <numFmt numFmtId="226" formatCode="0.000000000"/>
    <numFmt numFmtId="227" formatCode="0.000%"/>
    <numFmt numFmtId="228" formatCode="&quot;$&quot;#,##0_);\(&quot;$&quot;#,##0\)"/>
    <numFmt numFmtId="229" formatCode="&quot;$&quot;#,##0_);[Red]\(&quot;$&quot;#,##0\)"/>
    <numFmt numFmtId="230" formatCode="&quot;$&quot;#,##0.00_);\(&quot;$&quot;#,##0.00\)"/>
    <numFmt numFmtId="231" formatCode="&quot;$&quot;#,##0.00_);[Red]\(&quot;$&quot;#,##0.00\)"/>
    <numFmt numFmtId="232" formatCode="_(&quot;$&quot;* #,##0_);_(&quot;$&quot;* \(#,##0\);_(&quot;$&quot;* &quot;-&quot;_);_(@_)"/>
    <numFmt numFmtId="233" formatCode="_(* #,##0_);_(* \(#,##0\);_(* &quot;-&quot;_);_(@_)"/>
    <numFmt numFmtId="234" formatCode="_(&quot;$&quot;* #,##0.00_);_(&quot;$&quot;* \(#,##0.00\);_(&quot;$&quot;* &quot;-&quot;??_);_(@_)"/>
    <numFmt numFmtId="235" formatCode="_(* #,##0.00_);_(* \(#,##0.00\);_(* &quot;-&quot;??_);_(@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49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i/>
      <sz val="10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0" fontId="3" fillId="0" borderId="0">
      <alignment/>
      <protection/>
    </xf>
    <xf numFmtId="190" fontId="3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1" xfId="0" applyFill="1" applyBorder="1" applyAlignment="1">
      <alignment/>
    </xf>
    <xf numFmtId="0" fontId="4" fillId="3" borderId="2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 quotePrefix="1">
      <alignment horizontal="center"/>
    </xf>
    <xf numFmtId="208" fontId="0" fillId="5" borderId="0" xfId="0" applyNumberFormat="1" applyFill="1" applyAlignment="1">
      <alignment/>
    </xf>
    <xf numFmtId="208" fontId="0" fillId="0" borderId="0" xfId="0" applyNumberFormat="1" applyAlignment="1">
      <alignment/>
    </xf>
    <xf numFmtId="0" fontId="4" fillId="2" borderId="8" xfId="0" applyFont="1" applyFill="1" applyBorder="1" applyAlignment="1" applyProtection="1">
      <alignment horizontal="left"/>
      <protection locked="0"/>
    </xf>
    <xf numFmtId="1" fontId="0" fillId="6" borderId="7" xfId="0" applyNumberFormat="1" applyFill="1" applyBorder="1" applyAlignment="1">
      <alignment horizontal="right"/>
    </xf>
    <xf numFmtId="1" fontId="0" fillId="6" borderId="9" xfId="0" applyNumberFormat="1" applyFill="1" applyBorder="1" applyAlignment="1">
      <alignment horizontal="center"/>
    </xf>
    <xf numFmtId="0" fontId="0" fillId="6" borderId="10" xfId="0" applyNumberFormat="1" applyFill="1" applyBorder="1" applyAlignment="1">
      <alignment horizontal="center"/>
    </xf>
    <xf numFmtId="208" fontId="4" fillId="5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6" borderId="0" xfId="0" applyFont="1" applyFill="1" applyAlignment="1">
      <alignment horizontal="left"/>
    </xf>
    <xf numFmtId="208" fontId="4" fillId="5" borderId="12" xfId="0" applyNumberFormat="1" applyFont="1" applyFill="1" applyBorder="1" applyAlignment="1">
      <alignment horizontal="center"/>
    </xf>
    <xf numFmtId="1" fontId="0" fillId="6" borderId="7" xfId="0" applyNumberForma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208" fontId="4" fillId="5" borderId="14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7" borderId="0" xfId="0" applyFill="1" applyAlignment="1">
      <alignment/>
    </xf>
    <xf numFmtId="0" fontId="0" fillId="0" borderId="0" xfId="0" applyFont="1" applyAlignment="1">
      <alignment/>
    </xf>
    <xf numFmtId="0" fontId="4" fillId="4" borderId="15" xfId="0" applyFont="1" applyFill="1" applyBorder="1" applyAlignment="1" applyProtection="1">
      <alignment horizontal="left"/>
      <protection locked="0"/>
    </xf>
    <xf numFmtId="1" fontId="0" fillId="4" borderId="7" xfId="0" applyNumberFormat="1" applyFont="1" applyFill="1" applyBorder="1" applyAlignment="1">
      <alignment horizontal="right"/>
    </xf>
    <xf numFmtId="1" fontId="0" fillId="4" borderId="7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08" fontId="4" fillId="4" borderId="14" xfId="0" applyNumberFormat="1" applyFont="1" applyFill="1" applyBorder="1" applyAlignment="1">
      <alignment horizontal="center"/>
    </xf>
    <xf numFmtId="208" fontId="0" fillId="5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2" borderId="15" xfId="0" applyFont="1" applyFill="1" applyBorder="1" applyAlignment="1" applyProtection="1">
      <alignment horizontal="left"/>
      <protection locked="0"/>
    </xf>
    <xf numFmtId="1" fontId="7" fillId="6" borderId="7" xfId="0" applyNumberFormat="1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208" fontId="8" fillId="5" borderId="14" xfId="0" applyNumberFormat="1" applyFont="1" applyFill="1" applyBorder="1" applyAlignment="1">
      <alignment horizontal="center"/>
    </xf>
    <xf numFmtId="208" fontId="7" fillId="5" borderId="0" xfId="0" applyNumberFormat="1" applyFont="1" applyFill="1" applyAlignment="1">
      <alignment/>
    </xf>
    <xf numFmtId="0" fontId="8" fillId="6" borderId="0" xfId="0" applyFont="1" applyFill="1" applyAlignment="1">
      <alignment horizontal="left"/>
    </xf>
    <xf numFmtId="0" fontId="4" fillId="2" borderId="3" xfId="0" applyFont="1" applyFill="1" applyBorder="1" applyAlignment="1" applyProtection="1">
      <alignment horizontal="center"/>
      <protection locked="0"/>
    </xf>
    <xf numFmtId="1" fontId="0" fillId="6" borderId="4" xfId="0" applyNumberFormat="1" applyFont="1" applyFill="1" applyBorder="1" applyAlignment="1">
      <alignment horizontal="right"/>
    </xf>
    <xf numFmtId="1" fontId="0" fillId="6" borderId="4" xfId="0" applyNumberFormat="1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208" fontId="4" fillId="5" borderId="17" xfId="0" applyNumberFormat="1" applyFont="1" applyFill="1" applyBorder="1" applyAlignment="1">
      <alignment horizontal="center"/>
    </xf>
    <xf numFmtId="0" fontId="0" fillId="6" borderId="18" xfId="0" applyFill="1" applyBorder="1" applyAlignment="1">
      <alignment/>
    </xf>
    <xf numFmtId="0" fontId="4" fillId="6" borderId="19" xfId="0" applyFont="1" applyFill="1" applyBorder="1" applyAlignment="1">
      <alignment/>
    </xf>
    <xf numFmtId="1" fontId="0" fillId="6" borderId="19" xfId="0" applyNumberForma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208" fontId="4" fillId="6" borderId="21" xfId="0" applyNumberFormat="1" applyFont="1" applyFill="1" applyBorder="1" applyAlignment="1">
      <alignment horizontal="center"/>
    </xf>
    <xf numFmtId="0" fontId="5" fillId="0" borderId="0" xfId="0" applyFont="1" applyAlignment="1" quotePrefix="1">
      <alignment/>
    </xf>
    <xf numFmtId="1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2" xfId="0" applyFill="1" applyBorder="1" applyAlignment="1">
      <alignment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211" fontId="0" fillId="6" borderId="22" xfId="0" applyNumberForma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6" borderId="17" xfId="0" applyFont="1" applyFill="1" applyBorder="1" applyAlignment="1" applyProtection="1">
      <alignment horizontal="center"/>
      <protection locked="0"/>
    </xf>
    <xf numFmtId="0" fontId="0" fillId="6" borderId="22" xfId="0" applyFill="1" applyBorder="1" applyAlignment="1">
      <alignment/>
    </xf>
    <xf numFmtId="215" fontId="0" fillId="6" borderId="21" xfId="0" applyNumberFormat="1" applyFill="1" applyBorder="1" applyAlignment="1">
      <alignment horizontal="center"/>
    </xf>
    <xf numFmtId="175" fontId="4" fillId="6" borderId="25" xfId="0" applyNumberFormat="1" applyFont="1" applyFill="1" applyBorder="1" applyAlignment="1">
      <alignment horizontal="center"/>
    </xf>
    <xf numFmtId="208" fontId="4" fillId="5" borderId="26" xfId="0" applyNumberFormat="1" applyFon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" fontId="0" fillId="5" borderId="16" xfId="0" applyNumberFormat="1" applyFill="1" applyBorder="1" applyAlignment="1">
      <alignment horizontal="center"/>
    </xf>
    <xf numFmtId="1" fontId="0" fillId="5" borderId="17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206" fontId="0" fillId="0" borderId="0" xfId="0" applyNumberFormat="1" applyAlignment="1">
      <alignment/>
    </xf>
    <xf numFmtId="0" fontId="0" fillId="6" borderId="2" xfId="0" applyFill="1" applyBorder="1" applyAlignment="1">
      <alignment horizontal="center"/>
    </xf>
    <xf numFmtId="0" fontId="0" fillId="0" borderId="2" xfId="0" applyBorder="1" applyAlignment="1">
      <alignment/>
    </xf>
    <xf numFmtId="2" fontId="4" fillId="6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5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4" fillId="2" borderId="17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0" xfId="0" applyNumberFormat="1" applyAlignment="1">
      <alignment/>
    </xf>
    <xf numFmtId="0" fontId="0" fillId="6" borderId="29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172" fontId="4" fillId="6" borderId="1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0" fillId="0" borderId="24" xfId="0" applyFill="1" applyBorder="1" applyAlignment="1">
      <alignment/>
    </xf>
    <xf numFmtId="2" fontId="4" fillId="6" borderId="29" xfId="0" applyNumberFormat="1" applyFont="1" applyFill="1" applyBorder="1" applyAlignment="1">
      <alignment horizontal="center"/>
    </xf>
    <xf numFmtId="0" fontId="0" fillId="6" borderId="30" xfId="0" applyFill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0" fillId="0" borderId="7" xfId="0" applyBorder="1" applyAlignment="1">
      <alignment horizontal="center"/>
    </xf>
    <xf numFmtId="172" fontId="4" fillId="6" borderId="31" xfId="0" applyNumberFormat="1" applyFont="1" applyFill="1" applyBorder="1" applyAlignment="1">
      <alignment horizontal="center"/>
    </xf>
    <xf numFmtId="0" fontId="0" fillId="6" borderId="25" xfId="0" applyFill="1" applyBorder="1" applyAlignment="1">
      <alignment/>
    </xf>
    <xf numFmtId="0" fontId="9" fillId="0" borderId="0" xfId="0" applyFont="1" applyAlignment="1" quotePrefix="1">
      <alignment horizontal="left"/>
    </xf>
    <xf numFmtId="0" fontId="4" fillId="6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0" applyNumberFormat="1" applyAlignment="1" quotePrefix="1">
      <alignment/>
    </xf>
    <xf numFmtId="172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1" fontId="4" fillId="2" borderId="15" xfId="0" applyNumberFormat="1" applyFont="1" applyFill="1" applyBorder="1" applyAlignment="1">
      <alignment horizontal="right"/>
    </xf>
    <xf numFmtId="0" fontId="0" fillId="0" borderId="31" xfId="0" applyBorder="1" applyAlignment="1">
      <alignment/>
    </xf>
    <xf numFmtId="0" fontId="0" fillId="6" borderId="27" xfId="0" applyFill="1" applyBorder="1" applyAlignment="1">
      <alignment horizontal="center"/>
    </xf>
    <xf numFmtId="0" fontId="0" fillId="6" borderId="27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/>
    </xf>
    <xf numFmtId="0" fontId="0" fillId="2" borderId="31" xfId="0" applyFill="1" applyBorder="1" applyAlignment="1">
      <alignment horizontal="center"/>
    </xf>
  </cellXfs>
  <cellStyles count="38">
    <cellStyle name="Normal" xfId="0"/>
    <cellStyle name="Hyperlink" xfId="15"/>
    <cellStyle name="Followed Hyperlink" xfId="16"/>
    <cellStyle name="Comma" xfId="17"/>
    <cellStyle name="Comma [0]" xfId="18"/>
    <cellStyle name="Milliers [0]_Classeur1" xfId="19"/>
    <cellStyle name="Milliers [0]_Hall_Mesure_I_" xfId="20"/>
    <cellStyle name="Milliers [0]_PIC_calculs.xls Graphique 1" xfId="21"/>
    <cellStyle name="Milliers [0]_PWM" xfId="22"/>
    <cellStyle name="Milliers [0]_PWM_calculs" xfId="23"/>
    <cellStyle name="Milliers [0]_RTCC" xfId="24"/>
    <cellStyle name="Milliers [0]_TableGenerator" xfId="25"/>
    <cellStyle name="Milliers_Classeur1" xfId="26"/>
    <cellStyle name="Milliers_Hall_Mesure_I_" xfId="27"/>
    <cellStyle name="Milliers_PIC_calculs.xls Graphique 1" xfId="28"/>
    <cellStyle name="Milliers_PWM" xfId="29"/>
    <cellStyle name="Milliers_PWM_calculs" xfId="30"/>
    <cellStyle name="Milliers_RTCC" xfId="31"/>
    <cellStyle name="Milliers_TableGenerator" xfId="32"/>
    <cellStyle name="Currency" xfId="33"/>
    <cellStyle name="Currency [0]" xfId="34"/>
    <cellStyle name="Monétaire [0]_Classeur1" xfId="35"/>
    <cellStyle name="Monétaire [0]_Hall_Mesure_I_" xfId="36"/>
    <cellStyle name="Monétaire [0]_PIC_calculs.xls Graphique 1" xfId="37"/>
    <cellStyle name="Monétaire [0]_PWM" xfId="38"/>
    <cellStyle name="Monétaire [0]_PWM_calculs" xfId="39"/>
    <cellStyle name="Monétaire [0]_RTCC" xfId="40"/>
    <cellStyle name="Monétaire [0]_TableGenerator" xfId="41"/>
    <cellStyle name="Monétaire_Classeur1" xfId="42"/>
    <cellStyle name="Monétaire_Hall_Mesure_I_" xfId="43"/>
    <cellStyle name="Monétaire_PIC_calculs.xls Graphique 1" xfId="44"/>
    <cellStyle name="Monétaire_PWM" xfId="45"/>
    <cellStyle name="Monétaire_PWM_calculs" xfId="46"/>
    <cellStyle name="Monétaire_RTCC" xfId="47"/>
    <cellStyle name="Monétaire_TableGenerator" xfId="48"/>
    <cellStyle name="Normal_PWM" xfId="49"/>
    <cellStyle name="Normal_RTCC" xfId="50"/>
    <cellStyle name="Percent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61</xdr:row>
      <xdr:rowOff>0</xdr:rowOff>
    </xdr:from>
    <xdr:to>
      <xdr:col>10</xdr:col>
      <xdr:colOff>266700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7839075" y="100488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65</xdr:row>
      <xdr:rowOff>0</xdr:rowOff>
    </xdr:from>
    <xdr:to>
      <xdr:col>10</xdr:col>
      <xdr:colOff>276225</xdr:colOff>
      <xdr:row>68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7848600" y="107156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68</xdr:row>
      <xdr:rowOff>123825</xdr:rowOff>
    </xdr:from>
    <xdr:to>
      <xdr:col>11</xdr:col>
      <xdr:colOff>161925</xdr:colOff>
      <xdr:row>68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7829550" y="113442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67</xdr:row>
      <xdr:rowOff>152400</xdr:rowOff>
    </xdr:from>
    <xdr:to>
      <xdr:col>12</xdr:col>
      <xdr:colOff>295275</xdr:colOff>
      <xdr:row>69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8496300" y="11201400"/>
          <a:ext cx="457200" cy="285750"/>
        </a:xfrm>
        <a:prstGeom prst="homePlate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DAC</a:t>
          </a:r>
        </a:p>
      </xdr:txBody>
    </xdr:sp>
    <xdr:clientData/>
  </xdr:twoCellAnchor>
  <xdr:twoCellAnchor>
    <xdr:from>
      <xdr:col>9</xdr:col>
      <xdr:colOff>638175</xdr:colOff>
      <xdr:row>62</xdr:row>
      <xdr:rowOff>123825</xdr:rowOff>
    </xdr:from>
    <xdr:to>
      <xdr:col>11</xdr:col>
      <xdr:colOff>133350</xdr:colOff>
      <xdr:row>65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391400" y="10334625"/>
          <a:ext cx="10763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Sinus
Table de
256 elem</a:t>
          </a:r>
        </a:p>
      </xdr:txBody>
    </xdr:sp>
    <xdr:clientData/>
  </xdr:twoCellAnchor>
  <xdr:twoCellAnchor>
    <xdr:from>
      <xdr:col>10</xdr:col>
      <xdr:colOff>19050</xdr:colOff>
      <xdr:row>59</xdr:row>
      <xdr:rowOff>114300</xdr:rowOff>
    </xdr:from>
    <xdr:to>
      <xdr:col>11</xdr:col>
      <xdr:colOff>142875</xdr:colOff>
      <xdr:row>60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7591425" y="9839325"/>
          <a:ext cx="8858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HSB</a:t>
          </a:r>
        </a:p>
      </xdr:txBody>
    </xdr:sp>
    <xdr:clientData/>
  </xdr:twoCellAnchor>
  <xdr:twoCellAnchor>
    <xdr:from>
      <xdr:col>6</xdr:col>
      <xdr:colOff>542925</xdr:colOff>
      <xdr:row>57</xdr:row>
      <xdr:rowOff>161925</xdr:rowOff>
    </xdr:from>
    <xdr:to>
      <xdr:col>13</xdr:col>
      <xdr:colOff>114300</xdr:colOff>
      <xdr:row>60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4867275" y="9544050"/>
          <a:ext cx="4591050" cy="419100"/>
        </a:xfrm>
        <a:custGeom>
          <a:pathLst>
            <a:path h="48" w="441">
              <a:moveTo>
                <a:pt x="347" y="46"/>
              </a:moveTo>
              <a:cubicBezTo>
                <a:pt x="394" y="30"/>
                <a:pt x="441" y="14"/>
                <a:pt x="391" y="8"/>
              </a:cubicBezTo>
              <a:cubicBezTo>
                <a:pt x="341" y="2"/>
                <a:pt x="94" y="0"/>
                <a:pt x="47" y="7"/>
              </a:cubicBezTo>
              <a:cubicBezTo>
                <a:pt x="0" y="14"/>
                <a:pt x="53" y="31"/>
                <a:pt x="106" y="48"/>
              </a:cubicBezTo>
            </a:path>
          </a:pathLst>
        </a:cu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60</xdr:row>
      <xdr:rowOff>0</xdr:rowOff>
    </xdr:from>
    <xdr:to>
      <xdr:col>12</xdr:col>
      <xdr:colOff>38100</xdr:colOff>
      <xdr:row>60</xdr:row>
      <xdr:rowOff>47625</xdr:rowOff>
    </xdr:to>
    <xdr:sp>
      <xdr:nvSpPr>
        <xdr:cNvPr id="8" name="Line 8"/>
        <xdr:cNvSpPr>
          <a:spLocks/>
        </xdr:cNvSpPr>
      </xdr:nvSpPr>
      <xdr:spPr>
        <a:xfrm flipV="1">
          <a:off x="8505825" y="9886950"/>
          <a:ext cx="1905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59</xdr:row>
      <xdr:rowOff>114300</xdr:rowOff>
    </xdr:from>
    <xdr:to>
      <xdr:col>7</xdr:col>
      <xdr:colOff>600075</xdr:colOff>
      <xdr:row>60</xdr:row>
      <xdr:rowOff>28575</xdr:rowOff>
    </xdr:to>
    <xdr:sp>
      <xdr:nvSpPr>
        <xdr:cNvPr id="9" name="Line 9"/>
        <xdr:cNvSpPr>
          <a:spLocks/>
        </xdr:cNvSpPr>
      </xdr:nvSpPr>
      <xdr:spPr>
        <a:xfrm>
          <a:off x="5524500" y="9839325"/>
          <a:ext cx="2190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57</xdr:row>
      <xdr:rowOff>66675</xdr:rowOff>
    </xdr:from>
    <xdr:to>
      <xdr:col>9</xdr:col>
      <xdr:colOff>600075</xdr:colOff>
      <xdr:row>58</xdr:row>
      <xdr:rowOff>85725</xdr:rowOff>
    </xdr:to>
    <xdr:sp>
      <xdr:nvSpPr>
        <xdr:cNvPr id="10" name="Rectangle 10"/>
        <xdr:cNvSpPr>
          <a:spLocks/>
        </xdr:cNvSpPr>
      </xdr:nvSpPr>
      <xdr:spPr>
        <a:xfrm>
          <a:off x="6724650" y="9448800"/>
          <a:ext cx="628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boucle en</a:t>
          </a:r>
        </a:p>
      </xdr:txBody>
    </xdr:sp>
    <xdr:clientData/>
  </xdr:twoCellAnchor>
  <xdr:twoCellAnchor>
    <xdr:from>
      <xdr:col>9</xdr:col>
      <xdr:colOff>9525</xdr:colOff>
      <xdr:row>59</xdr:row>
      <xdr:rowOff>123825</xdr:rowOff>
    </xdr:from>
    <xdr:to>
      <xdr:col>9</xdr:col>
      <xdr:colOff>723900</xdr:colOff>
      <xdr:row>60</xdr:row>
      <xdr:rowOff>142875</xdr:rowOff>
    </xdr:to>
    <xdr:sp>
      <xdr:nvSpPr>
        <xdr:cNvPr id="11" name="Rectangle 11"/>
        <xdr:cNvSpPr>
          <a:spLocks/>
        </xdr:cNvSpPr>
      </xdr:nvSpPr>
      <xdr:spPr>
        <a:xfrm>
          <a:off x="6762750" y="9848850"/>
          <a:ext cx="714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MSB</a:t>
          </a:r>
        </a:p>
      </xdr:txBody>
    </xdr:sp>
    <xdr:clientData/>
  </xdr:twoCellAnchor>
  <xdr:twoCellAnchor>
    <xdr:from>
      <xdr:col>8</xdr:col>
      <xdr:colOff>19050</xdr:colOff>
      <xdr:row>59</xdr:row>
      <xdr:rowOff>123825</xdr:rowOff>
    </xdr:from>
    <xdr:to>
      <xdr:col>8</xdr:col>
      <xdr:colOff>733425</xdr:colOff>
      <xdr:row>60</xdr:row>
      <xdr:rowOff>142875</xdr:rowOff>
    </xdr:to>
    <xdr:sp>
      <xdr:nvSpPr>
        <xdr:cNvPr id="12" name="Rectangle 12"/>
        <xdr:cNvSpPr>
          <a:spLocks/>
        </xdr:cNvSpPr>
      </xdr:nvSpPr>
      <xdr:spPr>
        <a:xfrm>
          <a:off x="5934075" y="9848850"/>
          <a:ext cx="7143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LSB</a:t>
          </a:r>
        </a:p>
      </xdr:txBody>
    </xdr:sp>
    <xdr:clientData/>
  </xdr:twoCellAnchor>
  <xdr:twoCellAnchor>
    <xdr:from>
      <xdr:col>9</xdr:col>
      <xdr:colOff>304800</xdr:colOff>
      <xdr:row>51</xdr:row>
      <xdr:rowOff>9525</xdr:rowOff>
    </xdr:from>
    <xdr:to>
      <xdr:col>9</xdr:col>
      <xdr:colOff>438150</xdr:colOff>
      <xdr:row>57</xdr:row>
      <xdr:rowOff>57150</xdr:rowOff>
    </xdr:to>
    <xdr:sp>
      <xdr:nvSpPr>
        <xdr:cNvPr id="13" name="Line 13"/>
        <xdr:cNvSpPr>
          <a:spLocks/>
        </xdr:cNvSpPr>
      </xdr:nvSpPr>
      <xdr:spPr>
        <a:xfrm flipV="1">
          <a:off x="7058025" y="8382000"/>
          <a:ext cx="133350" cy="1057275"/>
        </a:xfrm>
        <a:prstGeom prst="line">
          <a:avLst/>
        </a:prstGeom>
        <a:noFill/>
        <a:ln w="158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xcel_datas\PIC_calculs_da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ALYSE\ATPVBA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R value"/>
      <sheetName val="Menu"/>
      <sheetName val="PWM calculs"/>
      <sheetName val="ADC 18bits MCP3424"/>
      <sheetName val="Clavier  interface"/>
      <sheetName val="Test Batterie"/>
      <sheetName val="Mesure de I  HALL"/>
      <sheetName val="LM335"/>
      <sheetName val="tst"/>
      <sheetName val="niveau d'eau"/>
      <sheetName val="boucles tempos"/>
      <sheetName val="checking Sin_DDS10.asm"/>
      <sheetName val="DDS "/>
      <sheetName val="Table de sinus en Hexa"/>
      <sheetName val="Frequencemetre"/>
      <sheetName val="I2C DS1620"/>
      <sheetName val="Zones adresses"/>
      <sheetName val="PWM"/>
      <sheetName val="Virgule"/>
      <sheetName val="timers"/>
      <sheetName val="Tabelle1"/>
      <sheetName val="reg001"/>
      <sheetName val="Uart"/>
      <sheetName val="Ascii converter"/>
      <sheetName val="Comparatif 16Fxxx"/>
      <sheetName val="variables1"/>
      <sheetName val="variables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"/>
      <sheetName val="Fonctions et procédures VBA"/>
      <sheetName val="Loc Table"/>
    </sheetNames>
    <definedNames>
      <definedName name="Dec2Hex"/>
      <definedName name="Hex2De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T96"/>
  <sheetViews>
    <sheetView tabSelected="1" workbookViewId="0" topLeftCell="A2">
      <selection activeCell="A11" sqref="A11"/>
    </sheetView>
  </sheetViews>
  <sheetFormatPr defaultColWidth="11.421875" defaultRowHeight="12.75"/>
  <cols>
    <col min="2" max="2" width="9.140625" style="0" customWidth="1"/>
    <col min="3" max="3" width="10.00390625" style="0" customWidth="1"/>
    <col min="4" max="4" width="12.57421875" style="0" bestFit="1" customWidth="1"/>
    <col min="5" max="6" width="10.8515625" style="1" customWidth="1"/>
    <col min="7" max="7" width="12.28125" style="1" customWidth="1"/>
    <col min="8" max="8" width="11.57421875" style="0" customWidth="1"/>
    <col min="9" max="9" width="12.57421875" style="0" bestFit="1" customWidth="1"/>
    <col min="10" max="10" width="12.28125" style="0" bestFit="1" customWidth="1"/>
    <col min="12" max="12" width="4.8515625" style="0" customWidth="1"/>
    <col min="13" max="13" width="10.28125" style="0" customWidth="1"/>
    <col min="14" max="14" width="35.8515625" style="2" customWidth="1"/>
    <col min="15" max="15" width="34.140625" style="0" customWidth="1"/>
  </cols>
  <sheetData>
    <row r="1" ht="13.5" thickBot="1">
      <c r="I1" t="s">
        <v>0</v>
      </c>
    </row>
    <row r="2" spans="2:7" ht="14.25" customHeight="1" thickBot="1">
      <c r="B2" s="1"/>
      <c r="C2" s="3" t="s">
        <v>1</v>
      </c>
      <c r="D2" s="4">
        <v>40</v>
      </c>
      <c r="E2" s="5" t="s">
        <v>2</v>
      </c>
      <c r="F2" s="6" t="s">
        <v>3</v>
      </c>
      <c r="G2" s="7">
        <v>0.04257474626813616</v>
      </c>
    </row>
    <row r="3" spans="3:13" ht="13.5" thickBot="1"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 t="s">
        <v>10</v>
      </c>
      <c r="J3" s="12">
        <v>0</v>
      </c>
      <c r="K3" s="13" t="s">
        <v>11</v>
      </c>
      <c r="M3" s="14" t="str">
        <f aca="true" t="shared" si="0" ref="M3:M41">I3</f>
        <v>Hexa</v>
      </c>
    </row>
    <row r="4" spans="1:17" ht="12.75">
      <c r="A4" s="15" t="str">
        <f>I4</f>
        <v>00 02 4B</v>
      </c>
      <c r="B4">
        <v>0</v>
      </c>
      <c r="C4" s="16">
        <v>25</v>
      </c>
      <c r="D4" s="17">
        <f aca="true" t="shared" si="1" ref="D4:D39">(nb_pas_DAC/256)*C4*(4/$D$2)*16777216/(1000000/$F$51)</f>
        <v>587.20256</v>
      </c>
      <c r="E4" s="18">
        <f aca="true" t="shared" si="2" ref="E4:E41">INT(D4/65536)</f>
        <v>0</v>
      </c>
      <c r="F4" s="18">
        <f aca="true" t="shared" si="3" ref="F4:F41">INT((D4-(E4*65536))/256)</f>
        <v>2</v>
      </c>
      <c r="G4" s="18">
        <f aca="true" t="shared" si="4" ref="G4:G41">INT(D4-(E4*65536)-(F4*256))</f>
        <v>75</v>
      </c>
      <c r="H4" s="19" t="str">
        <f aca="true" t="shared" si="5" ref="H4:H41">INDEX(zone1,INT(E4/16)+1,2)&amp;INDEX(zone1,E4-INT(E4/16)*16+1,2)&amp;INDEX(zone1,INT(F4/16)+1,2)&amp;INDEX(zone1,F4-INT(F4/16)*16+1,2)&amp;INDEX(zone1,INT(G4/16)+1,2)&amp;INDEX(zone1,G4-INT(G4/16)*16+1,2)</f>
        <v>00024B</v>
      </c>
      <c r="I4" s="20" t="str">
        <f aca="true" t="shared" si="6" ref="I4:I41">LEFT(H4,2)&amp;" "&amp;MID(H4,3,2)&amp;" "&amp;RIGHT(H4,2)</f>
        <v>00 02 4B</v>
      </c>
      <c r="J4" s="12">
        <v>1</v>
      </c>
      <c r="K4" s="13" t="s">
        <v>12</v>
      </c>
      <c r="L4" s="21">
        <v>0</v>
      </c>
      <c r="M4" s="14" t="str">
        <f t="shared" si="0"/>
        <v>00 02 4B</v>
      </c>
      <c r="N4" s="22" t="str">
        <f aca="true" t="shared" si="7" ref="N4:N41">"         dt    0x"&amp;LEFT(M4,2)&amp;", 0x"&amp;MID(I4,4,2)&amp;", 0x"&amp;RIGHT(M4,2)&amp;"     ;"&amp;FIXED(C4,0,1)&amp;"Hz"</f>
        <v>         dt    0x00, 0x02, 0x4B     ;25Hz</v>
      </c>
      <c r="O4" t="str">
        <f aca="true" t="shared" si="8" ref="O4:O32">"       DT    """&amp;REPT(" ",4-P4)&amp;Q4&amp;""""</f>
        <v>       DT    "  25"</v>
      </c>
      <c r="P4">
        <f aca="true" t="shared" si="9" ref="P4:P39">LEN(Q4)</f>
        <v>2</v>
      </c>
      <c r="Q4" t="str">
        <f aca="true" t="shared" si="10" ref="Q4:Q39">FIXED(C4,0,1)</f>
        <v>25</v>
      </c>
    </row>
    <row r="5" spans="1:17" ht="12.75">
      <c r="A5" s="15" t="str">
        <f>I5</f>
        <v>00 04 96</v>
      </c>
      <c r="B5">
        <v>1</v>
      </c>
      <c r="C5" s="16">
        <v>50</v>
      </c>
      <c r="D5" s="17">
        <f t="shared" si="1"/>
        <v>1174.40512</v>
      </c>
      <c r="E5" s="18">
        <f t="shared" si="2"/>
        <v>0</v>
      </c>
      <c r="F5" s="18">
        <f t="shared" si="3"/>
        <v>4</v>
      </c>
      <c r="G5" s="18">
        <f t="shared" si="4"/>
        <v>150</v>
      </c>
      <c r="H5" s="19" t="str">
        <f t="shared" si="5"/>
        <v>000496</v>
      </c>
      <c r="I5" s="23" t="str">
        <f t="shared" si="6"/>
        <v>00 04 96</v>
      </c>
      <c r="J5" s="12">
        <v>2</v>
      </c>
      <c r="K5" s="13" t="s">
        <v>13</v>
      </c>
      <c r="L5" s="21">
        <v>1</v>
      </c>
      <c r="M5" s="14" t="str">
        <f t="shared" si="0"/>
        <v>00 04 96</v>
      </c>
      <c r="N5" s="22" t="str">
        <f t="shared" si="7"/>
        <v>         dt    0x00, 0x04, 0x96     ;50Hz</v>
      </c>
      <c r="O5" t="str">
        <f t="shared" si="8"/>
        <v>       DT    "  50"</v>
      </c>
      <c r="P5">
        <f t="shared" si="9"/>
        <v>2</v>
      </c>
      <c r="Q5" t="str">
        <f t="shared" si="10"/>
        <v>50</v>
      </c>
    </row>
    <row r="6" spans="1:17" ht="12.75">
      <c r="A6" s="15" t="str">
        <f>I7</f>
        <v>00 09 2C</v>
      </c>
      <c r="B6">
        <v>2</v>
      </c>
      <c r="C6" s="16">
        <v>75</v>
      </c>
      <c r="D6" s="17">
        <f t="shared" si="1"/>
        <v>1761.6076799999998</v>
      </c>
      <c r="E6" s="24">
        <f t="shared" si="2"/>
        <v>0</v>
      </c>
      <c r="F6" s="24">
        <f t="shared" si="3"/>
        <v>6</v>
      </c>
      <c r="G6" s="24">
        <f t="shared" si="4"/>
        <v>225</v>
      </c>
      <c r="H6" s="25" t="str">
        <f t="shared" si="5"/>
        <v>0006E1</v>
      </c>
      <c r="I6" s="26" t="str">
        <f t="shared" si="6"/>
        <v>00 06 E1</v>
      </c>
      <c r="J6" s="12">
        <v>3</v>
      </c>
      <c r="K6" s="13" t="s">
        <v>14</v>
      </c>
      <c r="L6" s="21">
        <v>2</v>
      </c>
      <c r="M6" s="14" t="str">
        <f t="shared" si="0"/>
        <v>00 06 E1</v>
      </c>
      <c r="N6" s="22" t="str">
        <f t="shared" si="7"/>
        <v>         dt    0x00, 0x06, 0xE1     ;75Hz</v>
      </c>
      <c r="O6" t="str">
        <f t="shared" si="8"/>
        <v>       DT    "  75"</v>
      </c>
      <c r="P6">
        <f t="shared" si="9"/>
        <v>2</v>
      </c>
      <c r="Q6" t="str">
        <f t="shared" si="10"/>
        <v>75</v>
      </c>
    </row>
    <row r="7" spans="1:17" ht="12.75">
      <c r="A7" s="15" t="str">
        <f>I11</f>
        <v>00 1B 86</v>
      </c>
      <c r="B7">
        <v>3</v>
      </c>
      <c r="C7" s="16">
        <v>100</v>
      </c>
      <c r="D7" s="17">
        <f t="shared" si="1"/>
        <v>2348.81024</v>
      </c>
      <c r="E7" s="24">
        <f t="shared" si="2"/>
        <v>0</v>
      </c>
      <c r="F7" s="24">
        <f t="shared" si="3"/>
        <v>9</v>
      </c>
      <c r="G7" s="24">
        <f t="shared" si="4"/>
        <v>44</v>
      </c>
      <c r="H7" s="25" t="str">
        <f t="shared" si="5"/>
        <v>00092C</v>
      </c>
      <c r="I7" s="26" t="str">
        <f t="shared" si="6"/>
        <v>00 09 2C</v>
      </c>
      <c r="J7" s="12">
        <v>4</v>
      </c>
      <c r="K7" s="13" t="s">
        <v>15</v>
      </c>
      <c r="L7" s="21">
        <v>3</v>
      </c>
      <c r="M7" s="14" t="str">
        <f t="shared" si="0"/>
        <v>00 09 2C</v>
      </c>
      <c r="N7" s="22" t="str">
        <f t="shared" si="7"/>
        <v>         dt    0x00, 0x09, 0x2C     ;100Hz</v>
      </c>
      <c r="O7" t="str">
        <f t="shared" si="8"/>
        <v>       DT    " 100"</v>
      </c>
      <c r="P7">
        <f t="shared" si="9"/>
        <v>3</v>
      </c>
      <c r="Q7" t="str">
        <f t="shared" si="10"/>
        <v>100</v>
      </c>
    </row>
    <row r="8" spans="1:17" ht="12.75">
      <c r="A8" s="15" t="str">
        <f>I28</f>
        <v>01 CA C0</v>
      </c>
      <c r="B8">
        <v>4</v>
      </c>
      <c r="C8" s="16">
        <v>150</v>
      </c>
      <c r="D8" s="17">
        <f t="shared" si="1"/>
        <v>3523.2153599999997</v>
      </c>
      <c r="E8" s="24">
        <f t="shared" si="2"/>
        <v>0</v>
      </c>
      <c r="F8" s="24">
        <f t="shared" si="3"/>
        <v>13</v>
      </c>
      <c r="G8" s="24">
        <f t="shared" si="4"/>
        <v>195</v>
      </c>
      <c r="H8" s="25" t="str">
        <f t="shared" si="5"/>
        <v>000DC3</v>
      </c>
      <c r="I8" s="26" t="str">
        <f t="shared" si="6"/>
        <v>00 0D C3</v>
      </c>
      <c r="J8" s="12">
        <v>5</v>
      </c>
      <c r="K8" s="13" t="s">
        <v>16</v>
      </c>
      <c r="L8" s="21">
        <v>4</v>
      </c>
      <c r="M8" s="14" t="str">
        <f t="shared" si="0"/>
        <v>00 0D C3</v>
      </c>
      <c r="N8" s="22" t="str">
        <f t="shared" si="7"/>
        <v>         dt    0x00, 0x0D, 0xC3     ;150Hz</v>
      </c>
      <c r="O8" t="str">
        <f t="shared" si="8"/>
        <v>       DT    " 150"</v>
      </c>
      <c r="P8">
        <f t="shared" si="9"/>
        <v>3</v>
      </c>
      <c r="Q8" t="str">
        <f t="shared" si="10"/>
        <v>150</v>
      </c>
    </row>
    <row r="9" spans="1:17" ht="12.75">
      <c r="A9" s="15" t="str">
        <f>I41</f>
        <v>23 D7 0A</v>
      </c>
      <c r="B9">
        <v>5</v>
      </c>
      <c r="C9" s="16">
        <v>200</v>
      </c>
      <c r="D9" s="17">
        <f t="shared" si="1"/>
        <v>4697.62048</v>
      </c>
      <c r="E9" s="24">
        <f t="shared" si="2"/>
        <v>0</v>
      </c>
      <c r="F9" s="24">
        <f t="shared" si="3"/>
        <v>18</v>
      </c>
      <c r="G9" s="24">
        <f t="shared" si="4"/>
        <v>89</v>
      </c>
      <c r="H9" s="25" t="str">
        <f t="shared" si="5"/>
        <v>001259</v>
      </c>
      <c r="I9" s="26" t="str">
        <f t="shared" si="6"/>
        <v>00 12 59</v>
      </c>
      <c r="J9" s="12">
        <v>6</v>
      </c>
      <c r="K9" s="13" t="s">
        <v>17</v>
      </c>
      <c r="L9" s="21">
        <v>5</v>
      </c>
      <c r="M9" s="14" t="str">
        <f t="shared" si="0"/>
        <v>00 12 59</v>
      </c>
      <c r="N9" s="22" t="str">
        <f t="shared" si="7"/>
        <v>         dt    0x00, 0x12, 0x59     ;200Hz</v>
      </c>
      <c r="O9" t="str">
        <f t="shared" si="8"/>
        <v>       DT    " 200"</v>
      </c>
      <c r="P9">
        <f t="shared" si="9"/>
        <v>3</v>
      </c>
      <c r="Q9" t="str">
        <f t="shared" si="10"/>
        <v>200</v>
      </c>
    </row>
    <row r="10" spans="2:17" ht="12.75">
      <c r="B10">
        <v>6</v>
      </c>
      <c r="C10" s="16">
        <v>250</v>
      </c>
      <c r="D10" s="17">
        <f t="shared" si="1"/>
        <v>5872.0256</v>
      </c>
      <c r="E10" s="24">
        <f t="shared" si="2"/>
        <v>0</v>
      </c>
      <c r="F10" s="24">
        <f t="shared" si="3"/>
        <v>22</v>
      </c>
      <c r="G10" s="24">
        <f t="shared" si="4"/>
        <v>240</v>
      </c>
      <c r="H10" s="25" t="str">
        <f t="shared" si="5"/>
        <v>0016F0</v>
      </c>
      <c r="I10" s="26" t="str">
        <f t="shared" si="6"/>
        <v>00 16 F0</v>
      </c>
      <c r="J10" s="12">
        <v>7</v>
      </c>
      <c r="K10" s="13" t="s">
        <v>18</v>
      </c>
      <c r="L10" s="21">
        <v>6</v>
      </c>
      <c r="M10" s="14" t="str">
        <f t="shared" si="0"/>
        <v>00 16 F0</v>
      </c>
      <c r="N10" s="22" t="str">
        <f t="shared" si="7"/>
        <v>         dt    0x00, 0x16, 0xF0     ;250Hz</v>
      </c>
      <c r="O10" t="str">
        <f t="shared" si="8"/>
        <v>       DT    " 250"</v>
      </c>
      <c r="P10">
        <f t="shared" si="9"/>
        <v>3</v>
      </c>
      <c r="Q10" t="str">
        <f t="shared" si="10"/>
        <v>250</v>
      </c>
    </row>
    <row r="11" spans="2:20" ht="12.75">
      <c r="B11">
        <v>7</v>
      </c>
      <c r="C11" s="16">
        <v>300</v>
      </c>
      <c r="D11" s="17">
        <f t="shared" si="1"/>
        <v>7046.430719999999</v>
      </c>
      <c r="E11" s="24">
        <f t="shared" si="2"/>
        <v>0</v>
      </c>
      <c r="F11" s="24">
        <f t="shared" si="3"/>
        <v>27</v>
      </c>
      <c r="G11" s="24">
        <f t="shared" si="4"/>
        <v>134</v>
      </c>
      <c r="H11" s="25" t="str">
        <f t="shared" si="5"/>
        <v>001B86</v>
      </c>
      <c r="I11" s="26" t="str">
        <f t="shared" si="6"/>
        <v>00 1B 86</v>
      </c>
      <c r="J11" s="12">
        <v>8</v>
      </c>
      <c r="K11" s="13" t="s">
        <v>19</v>
      </c>
      <c r="L11" s="21">
        <v>7</v>
      </c>
      <c r="M11" s="14" t="str">
        <f t="shared" si="0"/>
        <v>00 1B 86</v>
      </c>
      <c r="N11" s="22" t="str">
        <f t="shared" si="7"/>
        <v>         dt    0x00, 0x1B, 0x86     ;300Hz</v>
      </c>
      <c r="O11" t="str">
        <f t="shared" si="8"/>
        <v>       DT    " 300"</v>
      </c>
      <c r="P11">
        <f t="shared" si="9"/>
        <v>3</v>
      </c>
      <c r="Q11" t="str">
        <f t="shared" si="10"/>
        <v>300</v>
      </c>
      <c r="S11">
        <v>0</v>
      </c>
      <c r="T11">
        <f aca="true" t="shared" si="11" ref="T11:T40">S11*4-S11</f>
        <v>0</v>
      </c>
    </row>
    <row r="12" spans="2:20" ht="12.75">
      <c r="B12">
        <v>8</v>
      </c>
      <c r="C12" s="16">
        <v>350</v>
      </c>
      <c r="D12" s="17">
        <f t="shared" si="1"/>
        <v>8220.83584</v>
      </c>
      <c r="E12" s="24">
        <f t="shared" si="2"/>
        <v>0</v>
      </c>
      <c r="F12" s="24">
        <f t="shared" si="3"/>
        <v>32</v>
      </c>
      <c r="G12" s="24">
        <f t="shared" si="4"/>
        <v>28</v>
      </c>
      <c r="H12" s="25" t="str">
        <f t="shared" si="5"/>
        <v>00201C</v>
      </c>
      <c r="I12" s="26" t="str">
        <f t="shared" si="6"/>
        <v>00 20 1C</v>
      </c>
      <c r="J12" s="12">
        <v>9</v>
      </c>
      <c r="K12" s="13" t="s">
        <v>20</v>
      </c>
      <c r="L12" s="21">
        <v>8</v>
      </c>
      <c r="M12" s="14" t="str">
        <f t="shared" si="0"/>
        <v>00 20 1C</v>
      </c>
      <c r="N12" s="22" t="str">
        <f t="shared" si="7"/>
        <v>         dt    0x00, 0x20, 0x1C     ;350Hz</v>
      </c>
      <c r="O12" t="str">
        <f t="shared" si="8"/>
        <v>       DT    " 350"</v>
      </c>
      <c r="P12">
        <f t="shared" si="9"/>
        <v>3</v>
      </c>
      <c r="Q12" t="str">
        <f t="shared" si="10"/>
        <v>350</v>
      </c>
      <c r="S12">
        <v>1</v>
      </c>
      <c r="T12">
        <f t="shared" si="11"/>
        <v>3</v>
      </c>
    </row>
    <row r="13" spans="2:20" ht="12.75">
      <c r="B13">
        <v>9</v>
      </c>
      <c r="C13" s="16">
        <v>400</v>
      </c>
      <c r="D13" s="17">
        <f t="shared" si="1"/>
        <v>9395.24096</v>
      </c>
      <c r="E13" s="24">
        <f t="shared" si="2"/>
        <v>0</v>
      </c>
      <c r="F13" s="24">
        <f t="shared" si="3"/>
        <v>36</v>
      </c>
      <c r="G13" s="24">
        <f t="shared" si="4"/>
        <v>179</v>
      </c>
      <c r="H13" s="25" t="str">
        <f t="shared" si="5"/>
        <v>0024B3</v>
      </c>
      <c r="I13" s="26" t="str">
        <f t="shared" si="6"/>
        <v>00 24 B3</v>
      </c>
      <c r="J13" s="12">
        <v>10</v>
      </c>
      <c r="K13" s="27" t="s">
        <v>21</v>
      </c>
      <c r="L13" s="21">
        <v>9</v>
      </c>
      <c r="M13" s="14" t="str">
        <f t="shared" si="0"/>
        <v>00 24 B3</v>
      </c>
      <c r="N13" s="22" t="str">
        <f t="shared" si="7"/>
        <v>         dt    0x00, 0x24, 0xB3     ;400Hz</v>
      </c>
      <c r="O13" t="str">
        <f t="shared" si="8"/>
        <v>       DT    " 400"</v>
      </c>
      <c r="P13">
        <f t="shared" si="9"/>
        <v>3</v>
      </c>
      <c r="Q13" t="str">
        <f t="shared" si="10"/>
        <v>400</v>
      </c>
      <c r="S13">
        <v>2</v>
      </c>
      <c r="T13">
        <f t="shared" si="11"/>
        <v>6</v>
      </c>
    </row>
    <row r="14" spans="2:20" ht="12.75">
      <c r="B14">
        <v>10</v>
      </c>
      <c r="C14" s="16">
        <v>450</v>
      </c>
      <c r="D14" s="17">
        <f t="shared" si="1"/>
        <v>10569.646079999999</v>
      </c>
      <c r="E14" s="24">
        <f t="shared" si="2"/>
        <v>0</v>
      </c>
      <c r="F14" s="24">
        <f t="shared" si="3"/>
        <v>41</v>
      </c>
      <c r="G14" s="24">
        <f t="shared" si="4"/>
        <v>73</v>
      </c>
      <c r="H14" s="25" t="str">
        <f t="shared" si="5"/>
        <v>002949</v>
      </c>
      <c r="I14" s="26" t="str">
        <f t="shared" si="6"/>
        <v>00 29 49</v>
      </c>
      <c r="J14" s="12">
        <v>11</v>
      </c>
      <c r="K14" s="27" t="s">
        <v>22</v>
      </c>
      <c r="L14" s="21">
        <v>10</v>
      </c>
      <c r="M14" s="14" t="str">
        <f t="shared" si="0"/>
        <v>00 29 49</v>
      </c>
      <c r="N14" s="22" t="str">
        <f t="shared" si="7"/>
        <v>         dt    0x00, 0x29, 0x49     ;450Hz</v>
      </c>
      <c r="O14" t="str">
        <f t="shared" si="8"/>
        <v>       DT    " 450"</v>
      </c>
      <c r="P14">
        <f t="shared" si="9"/>
        <v>3</v>
      </c>
      <c r="Q14" t="str">
        <f t="shared" si="10"/>
        <v>450</v>
      </c>
      <c r="S14">
        <v>3</v>
      </c>
      <c r="T14">
        <f t="shared" si="11"/>
        <v>9</v>
      </c>
    </row>
    <row r="15" spans="2:20" ht="12.75">
      <c r="B15">
        <v>11</v>
      </c>
      <c r="C15" s="16">
        <v>500</v>
      </c>
      <c r="D15" s="17">
        <f t="shared" si="1"/>
        <v>11744.0512</v>
      </c>
      <c r="E15" s="24">
        <f t="shared" si="2"/>
        <v>0</v>
      </c>
      <c r="F15" s="24">
        <f t="shared" si="3"/>
        <v>45</v>
      </c>
      <c r="G15" s="24">
        <f t="shared" si="4"/>
        <v>224</v>
      </c>
      <c r="H15" s="25" t="str">
        <f t="shared" si="5"/>
        <v>002DE0</v>
      </c>
      <c r="I15" s="26" t="str">
        <f t="shared" si="6"/>
        <v>00 2D E0</v>
      </c>
      <c r="J15" s="12">
        <v>12</v>
      </c>
      <c r="K15" s="27" t="s">
        <v>23</v>
      </c>
      <c r="L15" s="21">
        <v>11</v>
      </c>
      <c r="M15" s="14" t="str">
        <f t="shared" si="0"/>
        <v>00 2D E0</v>
      </c>
      <c r="N15" s="22" t="str">
        <f t="shared" si="7"/>
        <v>         dt    0x00, 0x2D, 0xE0     ;500Hz</v>
      </c>
      <c r="O15" t="str">
        <f t="shared" si="8"/>
        <v>       DT    " 500"</v>
      </c>
      <c r="P15">
        <f t="shared" si="9"/>
        <v>3</v>
      </c>
      <c r="Q15" t="str">
        <f t="shared" si="10"/>
        <v>500</v>
      </c>
      <c r="S15">
        <v>4</v>
      </c>
      <c r="T15">
        <f t="shared" si="11"/>
        <v>12</v>
      </c>
    </row>
    <row r="16" spans="2:20" ht="12.75">
      <c r="B16">
        <v>12</v>
      </c>
      <c r="C16" s="16">
        <v>600</v>
      </c>
      <c r="D16" s="17">
        <f t="shared" si="1"/>
        <v>14092.861439999999</v>
      </c>
      <c r="E16" s="24">
        <f t="shared" si="2"/>
        <v>0</v>
      </c>
      <c r="F16" s="24">
        <f t="shared" si="3"/>
        <v>55</v>
      </c>
      <c r="G16" s="24">
        <f t="shared" si="4"/>
        <v>12</v>
      </c>
      <c r="H16" s="25" t="str">
        <f t="shared" si="5"/>
        <v>00370C</v>
      </c>
      <c r="I16" s="26" t="str">
        <f t="shared" si="6"/>
        <v>00 37 0C</v>
      </c>
      <c r="J16" s="12">
        <v>13</v>
      </c>
      <c r="K16" s="27" t="s">
        <v>24</v>
      </c>
      <c r="L16" s="21">
        <v>12</v>
      </c>
      <c r="M16" s="14" t="str">
        <f t="shared" si="0"/>
        <v>00 37 0C</v>
      </c>
      <c r="N16" s="22" t="str">
        <f t="shared" si="7"/>
        <v>         dt    0x00, 0x37, 0x0C     ;600Hz</v>
      </c>
      <c r="O16" t="str">
        <f t="shared" si="8"/>
        <v>       DT    " 600"</v>
      </c>
      <c r="P16">
        <f t="shared" si="9"/>
        <v>3</v>
      </c>
      <c r="Q16" t="str">
        <f t="shared" si="10"/>
        <v>600</v>
      </c>
      <c r="S16">
        <v>5</v>
      </c>
      <c r="T16">
        <f t="shared" si="11"/>
        <v>15</v>
      </c>
    </row>
    <row r="17" spans="2:20" ht="12.75">
      <c r="B17">
        <v>13</v>
      </c>
      <c r="C17" s="16">
        <v>700</v>
      </c>
      <c r="D17" s="17">
        <f t="shared" si="1"/>
        <v>16441.67168</v>
      </c>
      <c r="E17" s="24">
        <f t="shared" si="2"/>
        <v>0</v>
      </c>
      <c r="F17" s="24">
        <f t="shared" si="3"/>
        <v>64</v>
      </c>
      <c r="G17" s="24">
        <f t="shared" si="4"/>
        <v>57</v>
      </c>
      <c r="H17" s="25" t="str">
        <f t="shared" si="5"/>
        <v>004039</v>
      </c>
      <c r="I17" s="26" t="str">
        <f t="shared" si="6"/>
        <v>00 40 39</v>
      </c>
      <c r="J17" s="12">
        <v>14</v>
      </c>
      <c r="K17" s="27" t="s">
        <v>25</v>
      </c>
      <c r="L17" s="21">
        <v>13</v>
      </c>
      <c r="M17" s="14" t="str">
        <f t="shared" si="0"/>
        <v>00 40 39</v>
      </c>
      <c r="N17" s="22" t="str">
        <f t="shared" si="7"/>
        <v>         dt    0x00, 0x40, 0x39     ;700Hz</v>
      </c>
      <c r="O17" t="str">
        <f t="shared" si="8"/>
        <v>       DT    " 700"</v>
      </c>
      <c r="P17">
        <f t="shared" si="9"/>
        <v>3</v>
      </c>
      <c r="Q17" t="str">
        <f t="shared" si="10"/>
        <v>700</v>
      </c>
      <c r="S17">
        <v>6</v>
      </c>
      <c r="T17">
        <f t="shared" si="11"/>
        <v>18</v>
      </c>
    </row>
    <row r="18" spans="2:20" ht="12.75">
      <c r="B18">
        <v>14</v>
      </c>
      <c r="C18" s="16">
        <v>800</v>
      </c>
      <c r="D18" s="17">
        <f t="shared" si="1"/>
        <v>18790.48192</v>
      </c>
      <c r="E18" s="24">
        <f t="shared" si="2"/>
        <v>0</v>
      </c>
      <c r="F18" s="24">
        <f t="shared" si="3"/>
        <v>73</v>
      </c>
      <c r="G18" s="24">
        <f t="shared" si="4"/>
        <v>102</v>
      </c>
      <c r="H18" s="25" t="str">
        <f t="shared" si="5"/>
        <v>004966</v>
      </c>
      <c r="I18" s="26" t="str">
        <f t="shared" si="6"/>
        <v>00 49 66</v>
      </c>
      <c r="J18" s="12">
        <v>15</v>
      </c>
      <c r="K18" s="27" t="s">
        <v>26</v>
      </c>
      <c r="L18" s="21">
        <v>14</v>
      </c>
      <c r="M18" s="14" t="str">
        <f t="shared" si="0"/>
        <v>00 49 66</v>
      </c>
      <c r="N18" s="22" t="str">
        <f t="shared" si="7"/>
        <v>         dt    0x00, 0x49, 0x66     ;800Hz</v>
      </c>
      <c r="O18" t="str">
        <f t="shared" si="8"/>
        <v>       DT    " 800"</v>
      </c>
      <c r="P18">
        <f t="shared" si="9"/>
        <v>3</v>
      </c>
      <c r="Q18" t="str">
        <f t="shared" si="10"/>
        <v>800</v>
      </c>
      <c r="S18">
        <v>7</v>
      </c>
      <c r="T18">
        <f t="shared" si="11"/>
        <v>21</v>
      </c>
    </row>
    <row r="19" spans="2:20" ht="12.75">
      <c r="B19">
        <v>15</v>
      </c>
      <c r="C19" s="16">
        <v>900</v>
      </c>
      <c r="D19" s="17">
        <f t="shared" si="1"/>
        <v>21139.292159999997</v>
      </c>
      <c r="E19" s="24">
        <f t="shared" si="2"/>
        <v>0</v>
      </c>
      <c r="F19" s="24">
        <f t="shared" si="3"/>
        <v>82</v>
      </c>
      <c r="G19" s="24">
        <f t="shared" si="4"/>
        <v>147</v>
      </c>
      <c r="H19" s="25" t="str">
        <f t="shared" si="5"/>
        <v>005293</v>
      </c>
      <c r="I19" s="26" t="str">
        <f t="shared" si="6"/>
        <v>00 52 93</v>
      </c>
      <c r="L19" s="21">
        <v>15</v>
      </c>
      <c r="M19" s="14" t="str">
        <f t="shared" si="0"/>
        <v>00 52 93</v>
      </c>
      <c r="N19" s="22" t="str">
        <f t="shared" si="7"/>
        <v>         dt    0x00, 0x52, 0x93     ;900Hz</v>
      </c>
      <c r="O19" t="str">
        <f t="shared" si="8"/>
        <v>       DT    " 900"</v>
      </c>
      <c r="P19">
        <f t="shared" si="9"/>
        <v>3</v>
      </c>
      <c r="Q19" t="str">
        <f t="shared" si="10"/>
        <v>900</v>
      </c>
      <c r="S19">
        <v>8</v>
      </c>
      <c r="T19">
        <f t="shared" si="11"/>
        <v>24</v>
      </c>
    </row>
    <row r="20" spans="2:20" ht="12.75">
      <c r="B20">
        <v>16</v>
      </c>
      <c r="C20" s="16">
        <v>1000</v>
      </c>
      <c r="D20" s="17">
        <f t="shared" si="1"/>
        <v>23488.1024</v>
      </c>
      <c r="E20" s="24">
        <f t="shared" si="2"/>
        <v>0</v>
      </c>
      <c r="F20" s="24">
        <f t="shared" si="3"/>
        <v>91</v>
      </c>
      <c r="G20" s="24">
        <f t="shared" si="4"/>
        <v>192</v>
      </c>
      <c r="H20" s="25" t="str">
        <f t="shared" si="5"/>
        <v>005BC0</v>
      </c>
      <c r="I20" s="26" t="str">
        <f t="shared" si="6"/>
        <v>00 5B C0</v>
      </c>
      <c r="J20" s="28"/>
      <c r="K20" s="28"/>
      <c r="L20" s="21">
        <v>16</v>
      </c>
      <c r="M20" s="14" t="str">
        <f t="shared" si="0"/>
        <v>00 5B C0</v>
      </c>
      <c r="N20" s="22" t="str">
        <f t="shared" si="7"/>
        <v>         dt    0x00, 0x5B, 0xC0     ;1000Hz</v>
      </c>
      <c r="O20" t="str">
        <f t="shared" si="8"/>
        <v>       DT    "1000"</v>
      </c>
      <c r="P20">
        <f t="shared" si="9"/>
        <v>4</v>
      </c>
      <c r="Q20" t="str">
        <f t="shared" si="10"/>
        <v>1000</v>
      </c>
      <c r="S20">
        <v>9</v>
      </c>
      <c r="T20">
        <f t="shared" si="11"/>
        <v>27</v>
      </c>
    </row>
    <row r="21" spans="2:20" ht="12.75">
      <c r="B21">
        <v>17</v>
      </c>
      <c r="C21" s="16">
        <v>1500</v>
      </c>
      <c r="D21" s="17">
        <f t="shared" si="1"/>
        <v>35232.1536</v>
      </c>
      <c r="E21" s="24">
        <f t="shared" si="2"/>
        <v>0</v>
      </c>
      <c r="F21" s="24">
        <f t="shared" si="3"/>
        <v>137</v>
      </c>
      <c r="G21" s="24">
        <f t="shared" si="4"/>
        <v>160</v>
      </c>
      <c r="H21" s="25" t="str">
        <f t="shared" si="5"/>
        <v>0089A0</v>
      </c>
      <c r="I21" s="26" t="str">
        <f t="shared" si="6"/>
        <v>00 89 A0</v>
      </c>
      <c r="J21" s="28"/>
      <c r="K21" s="28"/>
      <c r="L21" s="21">
        <v>17</v>
      </c>
      <c r="M21" s="14" t="str">
        <f t="shared" si="0"/>
        <v>00 89 A0</v>
      </c>
      <c r="N21" s="22" t="str">
        <f t="shared" si="7"/>
        <v>         dt    0x00, 0x89, 0xA0     ;1500Hz</v>
      </c>
      <c r="O21" t="str">
        <f t="shared" si="8"/>
        <v>       DT    "1500"</v>
      </c>
      <c r="P21">
        <f t="shared" si="9"/>
        <v>4</v>
      </c>
      <c r="Q21" t="str">
        <f t="shared" si="10"/>
        <v>1500</v>
      </c>
      <c r="S21">
        <v>10</v>
      </c>
      <c r="T21">
        <f t="shared" si="11"/>
        <v>30</v>
      </c>
    </row>
    <row r="22" spans="2:20" ht="12.75">
      <c r="B22">
        <v>18</v>
      </c>
      <c r="C22" s="16">
        <v>2000</v>
      </c>
      <c r="D22" s="17">
        <f t="shared" si="1"/>
        <v>46976.2048</v>
      </c>
      <c r="E22" s="24">
        <f t="shared" si="2"/>
        <v>0</v>
      </c>
      <c r="F22" s="24">
        <f t="shared" si="3"/>
        <v>183</v>
      </c>
      <c r="G22" s="24">
        <f t="shared" si="4"/>
        <v>128</v>
      </c>
      <c r="H22" s="25" t="str">
        <f t="shared" si="5"/>
        <v>00B780</v>
      </c>
      <c r="I22" s="26" t="str">
        <f t="shared" si="6"/>
        <v>00 B7 80</v>
      </c>
      <c r="J22" s="28"/>
      <c r="K22" s="28"/>
      <c r="L22" s="21">
        <v>18</v>
      </c>
      <c r="M22" s="14" t="str">
        <f t="shared" si="0"/>
        <v>00 B7 80</v>
      </c>
      <c r="N22" s="22" t="str">
        <f t="shared" si="7"/>
        <v>         dt    0x00, 0xB7, 0x80     ;2000Hz</v>
      </c>
      <c r="O22" t="str">
        <f t="shared" si="8"/>
        <v>       DT    "2000"</v>
      </c>
      <c r="P22">
        <f t="shared" si="9"/>
        <v>4</v>
      </c>
      <c r="Q22" t="str">
        <f t="shared" si="10"/>
        <v>2000</v>
      </c>
      <c r="S22">
        <v>11</v>
      </c>
      <c r="T22">
        <f t="shared" si="11"/>
        <v>33</v>
      </c>
    </row>
    <row r="23" spans="2:20" ht="12.75">
      <c r="B23">
        <v>19</v>
      </c>
      <c r="C23" s="16">
        <v>2500</v>
      </c>
      <c r="D23" s="17">
        <f t="shared" si="1"/>
        <v>58720.255999999994</v>
      </c>
      <c r="E23" s="24">
        <f t="shared" si="2"/>
        <v>0</v>
      </c>
      <c r="F23" s="24">
        <f t="shared" si="3"/>
        <v>229</v>
      </c>
      <c r="G23" s="24">
        <f t="shared" si="4"/>
        <v>96</v>
      </c>
      <c r="H23" s="25" t="str">
        <f t="shared" si="5"/>
        <v>00E560</v>
      </c>
      <c r="I23" s="26" t="str">
        <f t="shared" si="6"/>
        <v>00 E5 60</v>
      </c>
      <c r="J23" s="28"/>
      <c r="K23" s="28"/>
      <c r="L23" s="21">
        <v>19</v>
      </c>
      <c r="M23" s="14" t="str">
        <f t="shared" si="0"/>
        <v>00 E5 60</v>
      </c>
      <c r="N23" s="22" t="str">
        <f t="shared" si="7"/>
        <v>         dt    0x00, 0xE5, 0x60     ;2500Hz</v>
      </c>
      <c r="O23" t="str">
        <f t="shared" si="8"/>
        <v>       DT    "2500"</v>
      </c>
      <c r="P23">
        <f t="shared" si="9"/>
        <v>4</v>
      </c>
      <c r="Q23" t="str">
        <f t="shared" si="10"/>
        <v>2500</v>
      </c>
      <c r="S23">
        <v>12</v>
      </c>
      <c r="T23">
        <f t="shared" si="11"/>
        <v>36</v>
      </c>
    </row>
    <row r="24" spans="2:20" ht="12.75">
      <c r="B24">
        <v>20</v>
      </c>
      <c r="C24" s="16">
        <v>3000</v>
      </c>
      <c r="D24" s="17">
        <f t="shared" si="1"/>
        <v>70464.3072</v>
      </c>
      <c r="E24" s="24">
        <f t="shared" si="2"/>
        <v>1</v>
      </c>
      <c r="F24" s="24">
        <f t="shared" si="3"/>
        <v>19</v>
      </c>
      <c r="G24" s="24">
        <f t="shared" si="4"/>
        <v>64</v>
      </c>
      <c r="H24" s="25" t="str">
        <f t="shared" si="5"/>
        <v>011340</v>
      </c>
      <c r="I24" s="26" t="str">
        <f t="shared" si="6"/>
        <v>01 13 40</v>
      </c>
      <c r="L24" s="21">
        <v>20</v>
      </c>
      <c r="M24" s="14" t="str">
        <f t="shared" si="0"/>
        <v>01 13 40</v>
      </c>
      <c r="N24" s="22" t="str">
        <f t="shared" si="7"/>
        <v>         dt    0x01, 0x13, 0x40     ;3000Hz</v>
      </c>
      <c r="O24" t="str">
        <f t="shared" si="8"/>
        <v>       DT    "3000"</v>
      </c>
      <c r="P24">
        <f t="shared" si="9"/>
        <v>4</v>
      </c>
      <c r="Q24" t="str">
        <f t="shared" si="10"/>
        <v>3000</v>
      </c>
      <c r="S24">
        <v>13</v>
      </c>
      <c r="T24">
        <f t="shared" si="11"/>
        <v>39</v>
      </c>
    </row>
    <row r="25" spans="2:20" ht="12.75">
      <c r="B25">
        <v>21</v>
      </c>
      <c r="C25" s="16">
        <v>3500</v>
      </c>
      <c r="D25" s="17">
        <f t="shared" si="1"/>
        <v>82208.3584</v>
      </c>
      <c r="E25" s="24">
        <f t="shared" si="2"/>
        <v>1</v>
      </c>
      <c r="F25" s="24">
        <f t="shared" si="3"/>
        <v>65</v>
      </c>
      <c r="G25" s="24">
        <f t="shared" si="4"/>
        <v>32</v>
      </c>
      <c r="H25" s="25" t="str">
        <f t="shared" si="5"/>
        <v>014120</v>
      </c>
      <c r="I25" s="26" t="str">
        <f t="shared" si="6"/>
        <v>01 41 20</v>
      </c>
      <c r="L25" s="21">
        <v>21</v>
      </c>
      <c r="M25" s="14" t="str">
        <f t="shared" si="0"/>
        <v>01 41 20</v>
      </c>
      <c r="N25" s="22" t="str">
        <f t="shared" si="7"/>
        <v>         dt    0x01, 0x41, 0x20     ;3500Hz</v>
      </c>
      <c r="O25" t="str">
        <f t="shared" si="8"/>
        <v>       DT    "3500"</v>
      </c>
      <c r="P25">
        <f t="shared" si="9"/>
        <v>4</v>
      </c>
      <c r="Q25" t="str">
        <f t="shared" si="10"/>
        <v>3500</v>
      </c>
      <c r="S25">
        <v>14</v>
      </c>
      <c r="T25">
        <f t="shared" si="11"/>
        <v>42</v>
      </c>
    </row>
    <row r="26" spans="2:20" ht="12.75">
      <c r="B26">
        <v>22</v>
      </c>
      <c r="C26" s="16">
        <v>4000</v>
      </c>
      <c r="D26" s="17">
        <f t="shared" si="1"/>
        <v>93952.4096</v>
      </c>
      <c r="E26" s="24">
        <f t="shared" si="2"/>
        <v>1</v>
      </c>
      <c r="F26" s="24">
        <f t="shared" si="3"/>
        <v>111</v>
      </c>
      <c r="G26" s="24">
        <f t="shared" si="4"/>
        <v>0</v>
      </c>
      <c r="H26" s="25" t="str">
        <f t="shared" si="5"/>
        <v>016F00</v>
      </c>
      <c r="I26" s="26" t="str">
        <f t="shared" si="6"/>
        <v>01 6F 00</v>
      </c>
      <c r="J26">
        <v>375809.6384</v>
      </c>
      <c r="L26" s="21">
        <v>22</v>
      </c>
      <c r="M26" s="14" t="str">
        <f t="shared" si="0"/>
        <v>01 6F 00</v>
      </c>
      <c r="N26" s="22" t="str">
        <f t="shared" si="7"/>
        <v>         dt    0x01, 0x6F, 0x00     ;4000Hz</v>
      </c>
      <c r="O26" t="str">
        <f t="shared" si="8"/>
        <v>       DT    "4000"</v>
      </c>
      <c r="P26">
        <f t="shared" si="9"/>
        <v>4</v>
      </c>
      <c r="Q26" t="str">
        <f t="shared" si="10"/>
        <v>4000</v>
      </c>
      <c r="S26">
        <v>15</v>
      </c>
      <c r="T26">
        <f t="shared" si="11"/>
        <v>45</v>
      </c>
    </row>
    <row r="27" spans="2:20" ht="12.75">
      <c r="B27">
        <v>23</v>
      </c>
      <c r="C27" s="16">
        <v>4500</v>
      </c>
      <c r="D27" s="17">
        <f t="shared" si="1"/>
        <v>105696.46079999999</v>
      </c>
      <c r="E27" s="24">
        <f t="shared" si="2"/>
        <v>1</v>
      </c>
      <c r="F27" s="24">
        <f t="shared" si="3"/>
        <v>156</v>
      </c>
      <c r="G27" s="24">
        <f t="shared" si="4"/>
        <v>224</v>
      </c>
      <c r="H27" s="25" t="str">
        <f t="shared" si="5"/>
        <v>019CE0</v>
      </c>
      <c r="I27" s="26" t="str">
        <f t="shared" si="6"/>
        <v>01 9C E0</v>
      </c>
      <c r="L27" s="21">
        <v>23</v>
      </c>
      <c r="M27" s="14" t="str">
        <f t="shared" si="0"/>
        <v>01 9C E0</v>
      </c>
      <c r="N27" s="22" t="str">
        <f t="shared" si="7"/>
        <v>         dt    0x01, 0x9C, 0xE0     ;4500Hz</v>
      </c>
      <c r="O27" t="str">
        <f t="shared" si="8"/>
        <v>       DT    "4500"</v>
      </c>
      <c r="P27">
        <f t="shared" si="9"/>
        <v>4</v>
      </c>
      <c r="Q27" t="str">
        <f t="shared" si="10"/>
        <v>4500</v>
      </c>
      <c r="S27">
        <v>16</v>
      </c>
      <c r="T27">
        <f t="shared" si="11"/>
        <v>48</v>
      </c>
    </row>
    <row r="28" spans="2:20" ht="12.75">
      <c r="B28">
        <v>24</v>
      </c>
      <c r="C28" s="16">
        <v>5000</v>
      </c>
      <c r="D28" s="17">
        <f t="shared" si="1"/>
        <v>117440.51199999999</v>
      </c>
      <c r="E28" s="24">
        <f t="shared" si="2"/>
        <v>1</v>
      </c>
      <c r="F28" s="24">
        <f t="shared" si="3"/>
        <v>202</v>
      </c>
      <c r="G28" s="24">
        <f t="shared" si="4"/>
        <v>192</v>
      </c>
      <c r="H28" s="25" t="str">
        <f t="shared" si="5"/>
        <v>01CAC0</v>
      </c>
      <c r="I28" s="26" t="str">
        <f t="shared" si="6"/>
        <v>01 CA C0</v>
      </c>
      <c r="L28" s="21">
        <v>24</v>
      </c>
      <c r="M28" s="14" t="str">
        <f t="shared" si="0"/>
        <v>01 CA C0</v>
      </c>
      <c r="N28" s="22" t="str">
        <f t="shared" si="7"/>
        <v>         dt    0x01, 0xCA, 0xC0     ;5000Hz</v>
      </c>
      <c r="O28" t="str">
        <f t="shared" si="8"/>
        <v>       DT    "5000"</v>
      </c>
      <c r="P28">
        <f t="shared" si="9"/>
        <v>4</v>
      </c>
      <c r="Q28" t="str">
        <f t="shared" si="10"/>
        <v>5000</v>
      </c>
      <c r="S28">
        <v>17</v>
      </c>
      <c r="T28">
        <f t="shared" si="11"/>
        <v>51</v>
      </c>
    </row>
    <row r="29" spans="2:20" ht="12.75">
      <c r="B29">
        <v>25</v>
      </c>
      <c r="C29" s="16">
        <v>6000</v>
      </c>
      <c r="D29" s="17">
        <f t="shared" si="1"/>
        <v>140928.6144</v>
      </c>
      <c r="E29" s="24">
        <f t="shared" si="2"/>
        <v>2</v>
      </c>
      <c r="F29" s="24">
        <f t="shared" si="3"/>
        <v>38</v>
      </c>
      <c r="G29" s="24">
        <f t="shared" si="4"/>
        <v>128</v>
      </c>
      <c r="H29" s="25" t="str">
        <f t="shared" si="5"/>
        <v>022680</v>
      </c>
      <c r="I29" s="26" t="str">
        <f t="shared" si="6"/>
        <v>02 26 80</v>
      </c>
      <c r="L29" s="21">
        <v>25</v>
      </c>
      <c r="M29" s="14" t="str">
        <f t="shared" si="0"/>
        <v>02 26 80</v>
      </c>
      <c r="N29" s="22" t="str">
        <f t="shared" si="7"/>
        <v>         dt    0x02, 0x26, 0x80     ;6000Hz</v>
      </c>
      <c r="O29" t="str">
        <f t="shared" si="8"/>
        <v>       DT    "6000"</v>
      </c>
      <c r="P29">
        <f t="shared" si="9"/>
        <v>4</v>
      </c>
      <c r="Q29" t="str">
        <f t="shared" si="10"/>
        <v>6000</v>
      </c>
      <c r="S29">
        <v>18</v>
      </c>
      <c r="T29">
        <f t="shared" si="11"/>
        <v>54</v>
      </c>
    </row>
    <row r="30" spans="2:20" ht="12.75">
      <c r="B30">
        <v>26</v>
      </c>
      <c r="C30" s="16">
        <v>7000</v>
      </c>
      <c r="D30" s="17">
        <f t="shared" si="1"/>
        <v>164416.7168</v>
      </c>
      <c r="E30" s="24">
        <f t="shared" si="2"/>
        <v>2</v>
      </c>
      <c r="F30" s="24">
        <f t="shared" si="3"/>
        <v>130</v>
      </c>
      <c r="G30" s="24">
        <f t="shared" si="4"/>
        <v>64</v>
      </c>
      <c r="H30" s="25" t="str">
        <f t="shared" si="5"/>
        <v>028240</v>
      </c>
      <c r="I30" s="26" t="str">
        <f t="shared" si="6"/>
        <v>02 82 40</v>
      </c>
      <c r="J30" s="29"/>
      <c r="L30" s="21">
        <v>26</v>
      </c>
      <c r="M30" s="14" t="str">
        <f t="shared" si="0"/>
        <v>02 82 40</v>
      </c>
      <c r="N30" s="22" t="str">
        <f t="shared" si="7"/>
        <v>         dt    0x02, 0x82, 0x40     ;7000Hz</v>
      </c>
      <c r="O30" t="str">
        <f t="shared" si="8"/>
        <v>       DT    "7000"</v>
      </c>
      <c r="P30">
        <f t="shared" si="9"/>
        <v>4</v>
      </c>
      <c r="Q30" t="str">
        <f t="shared" si="10"/>
        <v>7000</v>
      </c>
      <c r="S30">
        <v>19</v>
      </c>
      <c r="T30">
        <f t="shared" si="11"/>
        <v>57</v>
      </c>
    </row>
    <row r="31" spans="2:20" ht="12.75">
      <c r="B31">
        <v>27</v>
      </c>
      <c r="C31" s="16">
        <v>8000</v>
      </c>
      <c r="D31" s="17">
        <f t="shared" si="1"/>
        <v>187904.8192</v>
      </c>
      <c r="E31" s="24">
        <f t="shared" si="2"/>
        <v>2</v>
      </c>
      <c r="F31" s="24">
        <f t="shared" si="3"/>
        <v>222</v>
      </c>
      <c r="G31" s="24">
        <f t="shared" si="4"/>
        <v>0</v>
      </c>
      <c r="H31" s="25" t="str">
        <f t="shared" si="5"/>
        <v>02DE00</v>
      </c>
      <c r="I31" s="26" t="str">
        <f t="shared" si="6"/>
        <v>02 DE 00</v>
      </c>
      <c r="L31" s="21">
        <v>27</v>
      </c>
      <c r="M31" s="14" t="str">
        <f t="shared" si="0"/>
        <v>02 DE 00</v>
      </c>
      <c r="N31" s="22" t="str">
        <f t="shared" si="7"/>
        <v>         dt    0x02, 0xDE, 0x00     ;8000Hz</v>
      </c>
      <c r="O31" t="str">
        <f t="shared" si="8"/>
        <v>       DT    "8000"</v>
      </c>
      <c r="P31">
        <f t="shared" si="9"/>
        <v>4</v>
      </c>
      <c r="Q31" t="str">
        <f t="shared" si="10"/>
        <v>8000</v>
      </c>
      <c r="S31">
        <v>20</v>
      </c>
      <c r="T31">
        <f t="shared" si="11"/>
        <v>60</v>
      </c>
    </row>
    <row r="32" spans="2:20" ht="12.75">
      <c r="B32">
        <v>28</v>
      </c>
      <c r="C32" s="16">
        <v>9000</v>
      </c>
      <c r="D32" s="17">
        <f t="shared" si="1"/>
        <v>211392.92159999997</v>
      </c>
      <c r="E32" s="24">
        <f t="shared" si="2"/>
        <v>3</v>
      </c>
      <c r="F32" s="24">
        <f t="shared" si="3"/>
        <v>57</v>
      </c>
      <c r="G32" s="24">
        <f t="shared" si="4"/>
        <v>192</v>
      </c>
      <c r="H32" s="25" t="str">
        <f t="shared" si="5"/>
        <v>0339C0</v>
      </c>
      <c r="I32" s="26" t="str">
        <f t="shared" si="6"/>
        <v>03 39 C0</v>
      </c>
      <c r="L32" s="21">
        <v>28</v>
      </c>
      <c r="M32" s="14" t="str">
        <f t="shared" si="0"/>
        <v>03 39 C0</v>
      </c>
      <c r="N32" s="22" t="str">
        <f t="shared" si="7"/>
        <v>         dt    0x03, 0x39, 0xC0     ;9000Hz</v>
      </c>
      <c r="O32" t="str">
        <f t="shared" si="8"/>
        <v>       DT    "9000"</v>
      </c>
      <c r="P32">
        <f t="shared" si="9"/>
        <v>4</v>
      </c>
      <c r="Q32" t="str">
        <f t="shared" si="10"/>
        <v>9000</v>
      </c>
      <c r="S32">
        <v>21</v>
      </c>
      <c r="T32">
        <f t="shared" si="11"/>
        <v>63</v>
      </c>
    </row>
    <row r="33" spans="2:20" ht="12.75">
      <c r="B33">
        <v>29</v>
      </c>
      <c r="C33" s="16">
        <v>10000</v>
      </c>
      <c r="D33" s="17">
        <f t="shared" si="1"/>
        <v>234881.02399999998</v>
      </c>
      <c r="E33" s="24">
        <f t="shared" si="2"/>
        <v>3</v>
      </c>
      <c r="F33" s="24">
        <f t="shared" si="3"/>
        <v>149</v>
      </c>
      <c r="G33" s="24">
        <f t="shared" si="4"/>
        <v>129</v>
      </c>
      <c r="H33" s="25" t="str">
        <f t="shared" si="5"/>
        <v>039581</v>
      </c>
      <c r="I33" s="26" t="str">
        <f t="shared" si="6"/>
        <v>03 95 81</v>
      </c>
      <c r="L33" s="21">
        <v>29</v>
      </c>
      <c r="M33" s="14" t="str">
        <f t="shared" si="0"/>
        <v>03 95 81</v>
      </c>
      <c r="N33" s="22" t="str">
        <f t="shared" si="7"/>
        <v>         dt    0x03, 0x95, 0x81     ;10000Hz</v>
      </c>
      <c r="O33" s="30" t="str">
        <f aca="true" t="shared" si="12" ref="O33:O40">"       DT    """&amp;REPT(" ",5-LEN(FIXED(C33,0,1)))&amp;LEFT(FIXED(C33,0,1),2)&amp;".K"""</f>
        <v>       DT    "10.K"</v>
      </c>
      <c r="P33">
        <f t="shared" si="9"/>
        <v>5</v>
      </c>
      <c r="Q33" t="str">
        <f t="shared" si="10"/>
        <v>10000</v>
      </c>
      <c r="S33">
        <v>22</v>
      </c>
      <c r="T33">
        <f t="shared" si="11"/>
        <v>66</v>
      </c>
    </row>
    <row r="34" spans="2:20" ht="12.75">
      <c r="B34">
        <v>30</v>
      </c>
      <c r="C34" s="16">
        <v>11000</v>
      </c>
      <c r="D34" s="17">
        <f t="shared" si="1"/>
        <v>258369.12639999998</v>
      </c>
      <c r="E34" s="24">
        <f t="shared" si="2"/>
        <v>3</v>
      </c>
      <c r="F34" s="24">
        <f t="shared" si="3"/>
        <v>241</v>
      </c>
      <c r="G34" s="24">
        <f t="shared" si="4"/>
        <v>65</v>
      </c>
      <c r="H34" s="25" t="str">
        <f t="shared" si="5"/>
        <v>03F141</v>
      </c>
      <c r="I34" s="26" t="str">
        <f t="shared" si="6"/>
        <v>03 F1 41</v>
      </c>
      <c r="L34" s="21">
        <v>30</v>
      </c>
      <c r="M34" s="14" t="str">
        <f t="shared" si="0"/>
        <v>03 F1 41</v>
      </c>
      <c r="N34" s="22" t="str">
        <f t="shared" si="7"/>
        <v>         dt    0x03, 0xF1, 0x41     ;11000Hz</v>
      </c>
      <c r="O34" s="30" t="str">
        <f t="shared" si="12"/>
        <v>       DT    "11.K"</v>
      </c>
      <c r="P34">
        <f t="shared" si="9"/>
        <v>5</v>
      </c>
      <c r="Q34" t="str">
        <f t="shared" si="10"/>
        <v>11000</v>
      </c>
      <c r="S34">
        <v>23</v>
      </c>
      <c r="T34">
        <f t="shared" si="11"/>
        <v>69</v>
      </c>
    </row>
    <row r="35" spans="2:20" ht="12.75">
      <c r="B35">
        <v>31</v>
      </c>
      <c r="C35" s="16">
        <v>12000</v>
      </c>
      <c r="D35" s="17">
        <f t="shared" si="1"/>
        <v>281857.2288</v>
      </c>
      <c r="E35" s="24">
        <f t="shared" si="2"/>
        <v>4</v>
      </c>
      <c r="F35" s="24">
        <f t="shared" si="3"/>
        <v>77</v>
      </c>
      <c r="G35" s="24">
        <f t="shared" si="4"/>
        <v>1</v>
      </c>
      <c r="H35" s="25" t="str">
        <f t="shared" si="5"/>
        <v>044D01</v>
      </c>
      <c r="I35" s="26" t="str">
        <f t="shared" si="6"/>
        <v>04 4D 01</v>
      </c>
      <c r="L35" s="21">
        <v>31</v>
      </c>
      <c r="M35" s="14" t="str">
        <f t="shared" si="0"/>
        <v>04 4D 01</v>
      </c>
      <c r="N35" s="22" t="str">
        <f t="shared" si="7"/>
        <v>         dt    0x04, 0x4D, 0x01     ;12000Hz</v>
      </c>
      <c r="O35" s="30" t="str">
        <f t="shared" si="12"/>
        <v>       DT    "12.K"</v>
      </c>
      <c r="P35">
        <f t="shared" si="9"/>
        <v>5</v>
      </c>
      <c r="Q35" t="str">
        <f t="shared" si="10"/>
        <v>12000</v>
      </c>
      <c r="S35">
        <v>24</v>
      </c>
      <c r="T35">
        <f t="shared" si="11"/>
        <v>72</v>
      </c>
    </row>
    <row r="36" spans="2:20" ht="12.75">
      <c r="B36">
        <v>32</v>
      </c>
      <c r="C36" s="16">
        <v>13000</v>
      </c>
      <c r="D36" s="17">
        <f t="shared" si="1"/>
        <v>305345.33119999996</v>
      </c>
      <c r="E36" s="24">
        <f t="shared" si="2"/>
        <v>4</v>
      </c>
      <c r="F36" s="24">
        <f t="shared" si="3"/>
        <v>168</v>
      </c>
      <c r="G36" s="24">
        <f t="shared" si="4"/>
        <v>193</v>
      </c>
      <c r="H36" s="25" t="str">
        <f t="shared" si="5"/>
        <v>04A8C1</v>
      </c>
      <c r="I36" s="26" t="str">
        <f t="shared" si="6"/>
        <v>04 A8 C1</v>
      </c>
      <c r="L36" s="21">
        <v>32</v>
      </c>
      <c r="M36" s="14" t="str">
        <f t="shared" si="0"/>
        <v>04 A8 C1</v>
      </c>
      <c r="N36" s="22" t="str">
        <f t="shared" si="7"/>
        <v>         dt    0x04, 0xA8, 0xC1     ;13000Hz</v>
      </c>
      <c r="O36" s="30" t="str">
        <f t="shared" si="12"/>
        <v>       DT    "13.K"</v>
      </c>
      <c r="P36">
        <f t="shared" si="9"/>
        <v>5</v>
      </c>
      <c r="Q36" t="str">
        <f t="shared" si="10"/>
        <v>13000</v>
      </c>
      <c r="S36">
        <v>25</v>
      </c>
      <c r="T36">
        <f t="shared" si="11"/>
        <v>75</v>
      </c>
    </row>
    <row r="37" spans="2:20" ht="12.75">
      <c r="B37">
        <v>33</v>
      </c>
      <c r="C37" s="16">
        <v>14000</v>
      </c>
      <c r="D37" s="17">
        <f t="shared" si="1"/>
        <v>328833.4336</v>
      </c>
      <c r="E37" s="24">
        <f t="shared" si="2"/>
        <v>5</v>
      </c>
      <c r="F37" s="24">
        <f t="shared" si="3"/>
        <v>4</v>
      </c>
      <c r="G37" s="24">
        <f t="shared" si="4"/>
        <v>129</v>
      </c>
      <c r="H37" s="25" t="str">
        <f t="shared" si="5"/>
        <v>050481</v>
      </c>
      <c r="I37" s="26" t="str">
        <f t="shared" si="6"/>
        <v>05 04 81</v>
      </c>
      <c r="L37" s="21">
        <v>33</v>
      </c>
      <c r="M37" s="14" t="str">
        <f t="shared" si="0"/>
        <v>05 04 81</v>
      </c>
      <c r="N37" s="22" t="str">
        <f t="shared" si="7"/>
        <v>         dt    0x05, 0x04, 0x81     ;14000Hz</v>
      </c>
      <c r="O37" s="30" t="str">
        <f t="shared" si="12"/>
        <v>       DT    "14.K"</v>
      </c>
      <c r="P37">
        <f t="shared" si="9"/>
        <v>5</v>
      </c>
      <c r="Q37" t="str">
        <f t="shared" si="10"/>
        <v>14000</v>
      </c>
      <c r="S37">
        <v>26</v>
      </c>
      <c r="T37">
        <f t="shared" si="11"/>
        <v>78</v>
      </c>
    </row>
    <row r="38" spans="2:20" ht="12.75">
      <c r="B38">
        <v>34</v>
      </c>
      <c r="C38" s="16">
        <v>15000</v>
      </c>
      <c r="D38" s="17">
        <f t="shared" si="1"/>
        <v>352321.53599999996</v>
      </c>
      <c r="E38" s="24">
        <f t="shared" si="2"/>
        <v>5</v>
      </c>
      <c r="F38" s="24">
        <f t="shared" si="3"/>
        <v>96</v>
      </c>
      <c r="G38" s="24">
        <f t="shared" si="4"/>
        <v>65</v>
      </c>
      <c r="H38" s="25" t="str">
        <f t="shared" si="5"/>
        <v>056041</v>
      </c>
      <c r="I38" s="26" t="str">
        <f t="shared" si="6"/>
        <v>05 60 41</v>
      </c>
      <c r="L38" s="21">
        <v>34</v>
      </c>
      <c r="M38" s="14" t="str">
        <f t="shared" si="0"/>
        <v>05 60 41</v>
      </c>
      <c r="N38" s="22" t="str">
        <f t="shared" si="7"/>
        <v>         dt    0x05, 0x60, 0x41     ;15000Hz</v>
      </c>
      <c r="O38" s="30" t="str">
        <f t="shared" si="12"/>
        <v>       DT    "15.K"</v>
      </c>
      <c r="P38">
        <f t="shared" si="9"/>
        <v>5</v>
      </c>
      <c r="Q38" t="str">
        <f t="shared" si="10"/>
        <v>15000</v>
      </c>
      <c r="S38">
        <v>27</v>
      </c>
      <c r="T38">
        <f t="shared" si="11"/>
        <v>81</v>
      </c>
    </row>
    <row r="39" spans="2:20" ht="12.75">
      <c r="B39">
        <v>35</v>
      </c>
      <c r="C39" s="16">
        <v>16000</v>
      </c>
      <c r="D39" s="17">
        <f t="shared" si="1"/>
        <v>375809.6384</v>
      </c>
      <c r="E39" s="24">
        <f t="shared" si="2"/>
        <v>5</v>
      </c>
      <c r="F39" s="24">
        <f t="shared" si="3"/>
        <v>188</v>
      </c>
      <c r="G39" s="24">
        <f t="shared" si="4"/>
        <v>1</v>
      </c>
      <c r="H39" s="25" t="str">
        <f t="shared" si="5"/>
        <v>05BC01</v>
      </c>
      <c r="I39" s="26" t="str">
        <f t="shared" si="6"/>
        <v>05 BC 01</v>
      </c>
      <c r="L39" s="21">
        <v>35</v>
      </c>
      <c r="M39" s="14" t="str">
        <f t="shared" si="0"/>
        <v>05 BC 01</v>
      </c>
      <c r="N39" s="22" t="str">
        <f t="shared" si="7"/>
        <v>         dt    0x05, 0xBC, 0x01     ;16000Hz</v>
      </c>
      <c r="O39" s="30" t="str">
        <f t="shared" si="12"/>
        <v>       DT    "16.K"</v>
      </c>
      <c r="P39">
        <f t="shared" si="9"/>
        <v>5</v>
      </c>
      <c r="Q39" t="str">
        <f t="shared" si="10"/>
        <v>16000</v>
      </c>
      <c r="S39">
        <v>28</v>
      </c>
      <c r="T39">
        <f t="shared" si="11"/>
        <v>84</v>
      </c>
    </row>
    <row r="40" spans="2:20" ht="12.75">
      <c r="B40" s="31">
        <v>36</v>
      </c>
      <c r="C40" s="32"/>
      <c r="D40" s="33">
        <f>C40*(4/$D$2)*16777216/($H$50/$F$51)</f>
        <v>0</v>
      </c>
      <c r="E40" s="34">
        <f t="shared" si="2"/>
        <v>0</v>
      </c>
      <c r="F40" s="34">
        <f t="shared" si="3"/>
        <v>0</v>
      </c>
      <c r="G40" s="34">
        <f t="shared" si="4"/>
        <v>0</v>
      </c>
      <c r="H40" s="35" t="str">
        <f t="shared" si="5"/>
        <v>000000</v>
      </c>
      <c r="I40" s="36" t="str">
        <f t="shared" si="6"/>
        <v>00 00 00</v>
      </c>
      <c r="L40" s="21">
        <v>36</v>
      </c>
      <c r="M40" s="37" t="str">
        <f t="shared" si="0"/>
        <v>00 00 00</v>
      </c>
      <c r="N40" s="22" t="str">
        <f t="shared" si="7"/>
        <v>         dt    0x00, 0x00, 0x00     ;0Hz</v>
      </c>
      <c r="O40" s="30" t="str">
        <f t="shared" si="12"/>
        <v>       DT    "    0.K"</v>
      </c>
      <c r="Q40" t="e">
        <f>INT(LOG(C40))+1</f>
        <v>#NUM!</v>
      </c>
      <c r="S40">
        <v>29</v>
      </c>
      <c r="T40">
        <f t="shared" si="11"/>
        <v>87</v>
      </c>
    </row>
    <row r="41" spans="2:15" ht="12.75">
      <c r="B41" s="38">
        <v>37</v>
      </c>
      <c r="C41" s="39">
        <v>100000</v>
      </c>
      <c r="D41" s="17">
        <f>(nb_pas_DAC/256)*C41*(4/$D$2)*16777216/(1000000/$F$51)</f>
        <v>2348810.2399999998</v>
      </c>
      <c r="E41" s="40">
        <f t="shared" si="2"/>
        <v>35</v>
      </c>
      <c r="F41" s="40">
        <f t="shared" si="3"/>
        <v>215</v>
      </c>
      <c r="G41" s="40">
        <f t="shared" si="4"/>
        <v>10</v>
      </c>
      <c r="H41" s="41" t="str">
        <f t="shared" si="5"/>
        <v>23D70A</v>
      </c>
      <c r="I41" s="42" t="str">
        <f t="shared" si="6"/>
        <v>23 D7 0A</v>
      </c>
      <c r="L41" s="21"/>
      <c r="M41" s="43" t="str">
        <f t="shared" si="0"/>
        <v>23 D7 0A</v>
      </c>
      <c r="N41" s="44" t="str">
        <f t="shared" si="7"/>
        <v>         dt    0x23, 0xD7, 0x0A     ;100000Hz</v>
      </c>
      <c r="O41" s="38" t="e">
        <f>"       DT    """&amp;REPT(" ",4-LEN(FIXED(C41,0,1)))&amp;FIXED(C41,0,1)&amp;""""</f>
        <v>#VALUE!</v>
      </c>
    </row>
    <row r="42" spans="5:14" ht="13.5" thickBot="1">
      <c r="E42"/>
      <c r="F42"/>
      <c r="G42"/>
      <c r="N42"/>
    </row>
    <row r="43" spans="2:15" ht="13.5" thickBot="1">
      <c r="B43" s="38">
        <v>39</v>
      </c>
      <c r="C43" s="45">
        <v>35714</v>
      </c>
      <c r="D43" s="46">
        <f>C43*16777216/($H$50/$F$51)</f>
        <v>1677708.1782272</v>
      </c>
      <c r="E43" s="47">
        <f>INT(D43/65536)</f>
        <v>25</v>
      </c>
      <c r="F43" s="47">
        <f>INT((D43-(E43*65536))/256)</f>
        <v>153</v>
      </c>
      <c r="G43" s="47">
        <f>INT(D43-(E43*65536)-(F43*256))</f>
        <v>140</v>
      </c>
      <c r="H43" s="48" t="str">
        <f>INDEX(zone1,INT(E43/16)+1,2)&amp;INDEX(zone1,E43-INT(E43/16)*16+1,2)&amp;INDEX(zone1,INT(F43/16)+1,2)&amp;INDEX(zone1,F43-INT(F43/16)*16+1,2)&amp;INDEX(zone1,INT(G43/16)+1,2)&amp;INDEX(zone1,G43-INT(G43/16)*16+1,2)</f>
        <v>19998C</v>
      </c>
      <c r="I43" s="49" t="str">
        <f>LEFT(H43,2)&amp;" "&amp;MID(H43,3,2)&amp;" "&amp;RIGHT(H43,2)</f>
        <v>19 99 8C</v>
      </c>
      <c r="L43" s="21"/>
      <c r="M43" s="43" t="str">
        <f>I43</f>
        <v>19 99 8C</v>
      </c>
      <c r="N43" s="44" t="str">
        <f>"         dt    0x"&amp;LEFT(M43,2)&amp;", 0x"&amp;MID(I43,4,2)&amp;", 0x"&amp;RIGHT(M43,2)&amp;"     ;"&amp;FIXED(C43,0,1)&amp;"Hz"</f>
        <v>         dt    0x19, 0x99, 0x8C     ;35714Hz</v>
      </c>
      <c r="O43" s="38" t="e">
        <f>"       DT    """&amp;REPT(" ",4-LEN(FIXED(C43,0,1)))&amp;FIXED(C43,0,1)&amp;""""</f>
        <v>#VALUE!</v>
      </c>
    </row>
    <row r="44" spans="3:10" ht="13.5" thickBot="1">
      <c r="C44" s="50" t="s">
        <v>27</v>
      </c>
      <c r="D44" s="51">
        <f>65536*256-1</f>
        <v>16777215</v>
      </c>
      <c r="E44" s="52">
        <f>INT(D44/65536)</f>
        <v>255</v>
      </c>
      <c r="F44" s="52">
        <f>INT((D44-(E44*65536))/256)</f>
        <v>255</v>
      </c>
      <c r="G44" s="52">
        <f>INT(D44-(E44*65536)-(F44*256))</f>
        <v>255</v>
      </c>
      <c r="H44" s="53" t="str">
        <f>INDEX(zone1,INT(E44/16)+1,2)&amp;INDEX(zone1,E44-INT(E44/16)*16+1,2)&amp;INDEX(zone1,INT(F44/16)+1,2)&amp;INDEX(zone1,F44-INT(F44/16)*16+1,2)&amp;INDEX(zone1,INT(G44/16)+1,2)&amp;INDEX(zone1,G44-INT(G44/16)*16+1,2)</f>
        <v>FFFFFF</v>
      </c>
      <c r="I44" s="54" t="str">
        <f>LEFT(H44,2)&amp;" "&amp;MID(H44,3,2)&amp;" "&amp;RIGHT(H44,2)</f>
        <v>FF FF FF</v>
      </c>
      <c r="J44" s="55" t="s">
        <v>28</v>
      </c>
    </row>
    <row r="45" spans="3:5" ht="12.75">
      <c r="C45" s="29"/>
      <c r="D45" s="29"/>
      <c r="E45" s="56"/>
    </row>
    <row r="46" ht="12.75">
      <c r="B46" s="55" t="s">
        <v>29</v>
      </c>
    </row>
    <row r="47" ht="13.5" thickBot="1"/>
    <row r="48" spans="3:7" ht="13.5" thickBot="1">
      <c r="C48" s="57" t="s">
        <v>30</v>
      </c>
      <c r="D48" s="58"/>
      <c r="E48" s="59">
        <v>2</v>
      </c>
      <c r="G48"/>
    </row>
    <row r="49" ht="13.5" thickBot="1">
      <c r="G49"/>
    </row>
    <row r="50" spans="4:14" ht="13.5" thickBot="1">
      <c r="D50" s="60" t="s">
        <v>31</v>
      </c>
      <c r="E50" s="61" t="s">
        <v>32</v>
      </c>
      <c r="F50" s="62" t="s">
        <v>33</v>
      </c>
      <c r="G50" s="63" t="s">
        <v>34</v>
      </c>
      <c r="H50" s="64">
        <f>quartz__Mhz*1000000/4</f>
        <v>10000000</v>
      </c>
      <c r="I50" s="62" t="s">
        <v>35</v>
      </c>
      <c r="J50" s="61" t="s">
        <v>36</v>
      </c>
      <c r="K50" s="65" t="s">
        <v>37</v>
      </c>
      <c r="N50"/>
    </row>
    <row r="51" spans="4:14" ht="13.5" thickBot="1">
      <c r="D51" s="66">
        <v>24</v>
      </c>
      <c r="E51" s="66">
        <v>40</v>
      </c>
      <c r="F51" s="67">
        <v>28</v>
      </c>
      <c r="G51" s="68">
        <f>256/nb_sinusoides</f>
        <v>128</v>
      </c>
      <c r="H51" s="69">
        <f>bin24_bits</f>
        <v>16777215</v>
      </c>
      <c r="I51" s="62" t="s">
        <v>38</v>
      </c>
      <c r="J51" s="70">
        <f>(1000000*nb_cycles)/H50</f>
        <v>2.8</v>
      </c>
      <c r="K51" s="71">
        <f>((256/nb_pas_DAC)*(D51*H50)/F51)/(H51)</f>
        <v>1.0217939713389346</v>
      </c>
      <c r="N51"/>
    </row>
    <row r="52" spans="4:14" ht="13.5" thickBot="1">
      <c r="D52" s="72" t="str">
        <f>LEFT(H52,2)&amp;" "&amp;MID(H52,3,2)&amp;" "&amp;RIGHT(H52,2)</f>
        <v>00 00 18</v>
      </c>
      <c r="E52" s="73">
        <f>INT(nombre/65536)</f>
        <v>0</v>
      </c>
      <c r="F52" s="74">
        <f>INT((nombre-(E52*65536))/256)</f>
        <v>0</v>
      </c>
      <c r="G52" s="75">
        <f>INT(nombre-(E52*65536)-(F52*256))</f>
        <v>24</v>
      </c>
      <c r="H52" s="76" t="str">
        <f>INDEX(zone1,INT(E52/16)+1,2)&amp;INDEX(zone1,E52-INT(E52/16)*16+1,2)&amp;INDEX(zone1,INT(F52/16)+1,2)&amp;INDEX(zone1,F52-INT(F52/16)*16+1,2)&amp;INDEX(zone1,INT(G52/16)+1,2)&amp;INDEX(zone1,G52-INT(G52/16)*16+1,2)</f>
        <v>000018</v>
      </c>
      <c r="N52"/>
    </row>
    <row r="53" spans="5:8" ht="13.5" thickBot="1">
      <c r="E53" s="77"/>
      <c r="F53" s="77"/>
      <c r="G53" s="78"/>
      <c r="H53" s="79"/>
    </row>
    <row r="54" spans="4:13" ht="13.5" thickBot="1">
      <c r="D54" s="3" t="s">
        <v>37</v>
      </c>
      <c r="E54" s="59">
        <v>1</v>
      </c>
      <c r="F54" s="80">
        <f>nb_cycles</f>
        <v>28</v>
      </c>
      <c r="G54" s="81">
        <f>quartz__Mhz</f>
        <v>40</v>
      </c>
      <c r="H54" s="82" t="s">
        <v>39</v>
      </c>
      <c r="I54" s="61" t="s">
        <v>40</v>
      </c>
      <c r="K54" s="83"/>
      <c r="M54" s="84">
        <v>0.021287373</v>
      </c>
    </row>
    <row r="55" spans="4:11" ht="13.5" thickBot="1">
      <c r="D55" s="3" t="s">
        <v>41</v>
      </c>
      <c r="E55" s="85">
        <f>1000000/E54</f>
        <v>1000000</v>
      </c>
      <c r="F55" s="62" t="s">
        <v>33</v>
      </c>
      <c r="G55" s="80">
        <f>4/quartz__Mhz</f>
        <v>0.1</v>
      </c>
      <c r="H55" s="86" t="s">
        <v>42</v>
      </c>
      <c r="I55" s="87">
        <f>1/(Periode/(D60*J51))</f>
        <v>46.976202</v>
      </c>
      <c r="K55" s="83"/>
    </row>
    <row r="56" spans="4:11" ht="12.75">
      <c r="D56" s="83"/>
      <c r="E56" s="88"/>
      <c r="F56" s="88"/>
      <c r="G56" s="88"/>
      <c r="H56" s="83"/>
      <c r="I56" s="83"/>
      <c r="K56" s="83"/>
    </row>
    <row r="57" spans="4:11" ht="12.75">
      <c r="D57" s="83"/>
      <c r="E57" s="89"/>
      <c r="F57" s="90"/>
      <c r="G57" s="91"/>
      <c r="H57" s="83"/>
      <c r="I57" s="83"/>
      <c r="J57" s="92"/>
      <c r="K57" s="92"/>
    </row>
    <row r="58" ht="13.5" thickBot="1"/>
    <row r="59" spans="4:11" ht="13.5" thickBot="1">
      <c r="D59" s="93">
        <f>65535</f>
        <v>65535</v>
      </c>
      <c r="E59" s="94" t="s">
        <v>43</v>
      </c>
      <c r="F59" s="95"/>
      <c r="G59" s="86"/>
      <c r="J59" s="96"/>
      <c r="K59" s="96"/>
    </row>
    <row r="60" spans="4:11" ht="12.75">
      <c r="D60" s="97">
        <f>bin24_bits</f>
        <v>16777215</v>
      </c>
      <c r="E60" s="98" t="s">
        <v>44</v>
      </c>
      <c r="F60" s="88"/>
      <c r="G60" s="99"/>
      <c r="K60" s="96"/>
    </row>
    <row r="61" spans="4:11" ht="12.75">
      <c r="D61" s="97">
        <f>quartz__Mhz</f>
        <v>40</v>
      </c>
      <c r="E61" s="98" t="s">
        <v>32</v>
      </c>
      <c r="F61" s="88"/>
      <c r="G61" s="99"/>
      <c r="J61" s="96"/>
      <c r="K61" s="96"/>
    </row>
    <row r="62" spans="4:11" ht="12.75">
      <c r="D62" s="97">
        <f>Nboucles</f>
        <v>28</v>
      </c>
      <c r="E62" s="98" t="s">
        <v>45</v>
      </c>
      <c r="F62" s="88"/>
      <c r="G62" s="100"/>
      <c r="I62" s="83" t="s">
        <v>46</v>
      </c>
      <c r="J62" s="96"/>
      <c r="K62" s="96"/>
    </row>
    <row r="63" spans="4:11" ht="12.75">
      <c r="D63" s="97">
        <f>D62*4/D61</f>
        <v>2.8</v>
      </c>
      <c r="E63" s="98" t="s">
        <v>47</v>
      </c>
      <c r="F63" s="88"/>
      <c r="G63" s="99"/>
      <c r="J63" s="92"/>
      <c r="K63" s="92"/>
    </row>
    <row r="64" spans="4:11" ht="13.5" thickBot="1">
      <c r="D64" s="97">
        <f>D63*D60/D59/1000000</f>
        <v>0.0007168108949416343</v>
      </c>
      <c r="E64" s="98" t="s">
        <v>48</v>
      </c>
      <c r="F64" s="88"/>
      <c r="G64" s="99"/>
      <c r="J64" s="96"/>
      <c r="K64" s="96"/>
    </row>
    <row r="65" spans="4:11" ht="13.5" thickBot="1">
      <c r="D65" s="101">
        <f>(256/nb_pas_DAC)/D64</f>
        <v>2790.136162987378</v>
      </c>
      <c r="E65" s="94" t="s">
        <v>49</v>
      </c>
      <c r="F65" s="95"/>
      <c r="G65" s="86"/>
      <c r="J65" s="96"/>
      <c r="K65" s="92"/>
    </row>
    <row r="66" spans="10:11" ht="13.5" thickBot="1">
      <c r="J66" s="96"/>
      <c r="K66" s="96"/>
    </row>
    <row r="67" spans="4:11" ht="12.75">
      <c r="D67" s="102" t="s">
        <v>50</v>
      </c>
      <c r="E67" s="103"/>
      <c r="G67"/>
      <c r="H67" t="s">
        <v>51</v>
      </c>
      <c r="K67" s="96"/>
    </row>
    <row r="68" spans="4:11" ht="13.5" thickBot="1">
      <c r="D68" s="104">
        <f>1000000/(Tr_de_boucle*nb_pas_DAC)</f>
        <v>2790.1785714285716</v>
      </c>
      <c r="E68" s="105" t="s">
        <v>52</v>
      </c>
      <c r="G68" s="106" t="s">
        <v>53</v>
      </c>
      <c r="H68" s="107" t="s">
        <v>54</v>
      </c>
      <c r="I68" s="106" t="s">
        <v>55</v>
      </c>
      <c r="J68" s="107" t="s">
        <v>56</v>
      </c>
      <c r="K68" s="96"/>
    </row>
    <row r="69" spans="4:11" ht="12.75">
      <c r="D69" s="108" t="s">
        <v>57</v>
      </c>
      <c r="E69" s="82"/>
      <c r="G69" s="107">
        <v>1</v>
      </c>
      <c r="H69" s="109">
        <v>904.21</v>
      </c>
      <c r="I69" s="109">
        <f>256/G69</f>
        <v>256</v>
      </c>
      <c r="J69" s="109">
        <f>360/I69</f>
        <v>1.40625</v>
      </c>
      <c r="K69" s="96"/>
    </row>
    <row r="70" spans="4:11" ht="13.5" thickBot="1">
      <c r="D70" s="110">
        <f>1000000/(65535*J51*nb_pas_DAC)</f>
        <v>0.042575395917121714</v>
      </c>
      <c r="E70" s="111" t="s">
        <v>52</v>
      </c>
      <c r="G70" s="107">
        <v>2</v>
      </c>
      <c r="H70" s="109">
        <v>1808.45</v>
      </c>
      <c r="I70" s="109">
        <f>256/G70</f>
        <v>128</v>
      </c>
      <c r="J70" s="109">
        <f>360/I70</f>
        <v>2.8125</v>
      </c>
      <c r="K70" s="96"/>
    </row>
    <row r="71" spans="7:10" ht="12.75">
      <c r="G71" s="107">
        <v>4</v>
      </c>
      <c r="H71" s="109">
        <v>3616.9</v>
      </c>
      <c r="I71" s="109">
        <f>256/G71</f>
        <v>64</v>
      </c>
      <c r="J71" s="109">
        <f>360/I71</f>
        <v>5.625</v>
      </c>
    </row>
    <row r="72" spans="7:10" ht="12.75">
      <c r="G72" s="107">
        <v>8</v>
      </c>
      <c r="H72" s="109">
        <v>7233.68</v>
      </c>
      <c r="I72" s="109">
        <f>256/G72</f>
        <v>32</v>
      </c>
      <c r="J72" s="109">
        <f>360/I72</f>
        <v>11.25</v>
      </c>
    </row>
    <row r="73" ht="12.75">
      <c r="D73">
        <v>3893</v>
      </c>
    </row>
    <row r="74" spans="4:5" ht="12.75">
      <c r="D74">
        <f>((nb_sinusoides*quartz__Mhz*1000000/4)/nb_cycles)/bin24_bits</f>
        <v>0.042574748805788945</v>
      </c>
      <c r="E74" s="112" t="s">
        <v>58</v>
      </c>
    </row>
    <row r="75" ht="12.75">
      <c r="D75" s="113">
        <f>D74*D73</f>
        <v>165.74349710093637</v>
      </c>
    </row>
    <row r="77" spans="4:10" ht="12.75">
      <c r="D77" s="114" t="s">
        <v>59</v>
      </c>
      <c r="E77" s="113">
        <f>D29/10000</f>
        <v>14.092861439999998</v>
      </c>
      <c r="J77" s="115"/>
    </row>
    <row r="78" spans="4:10" ht="13.5" thickBot="1">
      <c r="D78" s="116"/>
      <c r="J78" s="117"/>
    </row>
    <row r="79" spans="3:10" ht="13.5" thickBot="1">
      <c r="C79" s="118" t="s">
        <v>60</v>
      </c>
      <c r="D79" s="119"/>
      <c r="E79" s="120"/>
      <c r="F79" s="120"/>
      <c r="G79" s="120"/>
      <c r="H79" s="82" t="s">
        <v>61</v>
      </c>
      <c r="I79" s="83"/>
      <c r="J79" s="83"/>
    </row>
    <row r="80" spans="3:10" ht="12.75">
      <c r="C80" s="121">
        <v>54321</v>
      </c>
      <c r="D80" s="18">
        <f>INT(C80/65536)</f>
        <v>0</v>
      </c>
      <c r="E80" s="18">
        <f>INT((C80-(D80*65536))/256)</f>
        <v>212</v>
      </c>
      <c r="F80" s="18">
        <f>INT(C80-(D80*65536)-(E80*256))</f>
        <v>49</v>
      </c>
      <c r="G80" s="19" t="str">
        <f>INDEX(zone1,INT(D80/16)+1,2)&amp;INDEX(zone1,D80-INT(D80/16)*16+1,2)&amp;INDEX(zone1,INT(E80/16)+1,2)&amp;INDEX(zone1,E80-INT(E80/16)*16+1,2)&amp;INDEX(zone1,INT(F80/16)+1,2)&amp;INDEX(zone1,F80-INT(F80/16)*16+1,2)</f>
        <v>00D431</v>
      </c>
      <c r="H80" s="20" t="str">
        <f>LEFT(G80,2)&amp;" "&amp;MID(G80,3,2)&amp;" "&amp;RIGHT(G80,2)</f>
        <v>00 D4 31</v>
      </c>
      <c r="I80" s="83"/>
      <c r="J80" s="83"/>
    </row>
    <row r="81" spans="3:10" ht="13.5" thickBot="1">
      <c r="C81" s="122"/>
      <c r="D81" s="123" t="str">
        <f>[2]!Dec2Hex(C80,6)</f>
        <v>00D431</v>
      </c>
      <c r="E81" s="124">
        <f>_XLL.HEXDEC(G80)</f>
        <v>54321</v>
      </c>
      <c r="F81" s="125"/>
      <c r="G81" s="125"/>
      <c r="H81" s="126"/>
      <c r="I81" s="83"/>
      <c r="J81" s="83"/>
    </row>
    <row r="82" spans="5:11" ht="13.5" thickBot="1">
      <c r="E82" s="88"/>
      <c r="F82" s="88"/>
      <c r="G82" s="88"/>
      <c r="H82" s="83"/>
      <c r="I82" s="83"/>
      <c r="J82" s="83"/>
      <c r="K82" s="83"/>
    </row>
    <row r="83" spans="4:11" ht="12.75">
      <c r="D83" s="118" t="s">
        <v>10</v>
      </c>
      <c r="E83" s="82"/>
      <c r="F83" s="88"/>
      <c r="G83" s="88"/>
      <c r="H83" s="83"/>
      <c r="I83" s="83"/>
      <c r="J83" s="83"/>
      <c r="K83" s="83"/>
    </row>
    <row r="84" spans="4:11" ht="13.5" thickBot="1">
      <c r="D84" s="127">
        <v>39581</v>
      </c>
      <c r="E84" s="126">
        <f>[2]!Hex2Dec(D84)</f>
        <v>234881</v>
      </c>
      <c r="F84" s="88"/>
      <c r="G84" s="88"/>
      <c r="H84" s="83"/>
      <c r="I84" s="83"/>
      <c r="J84" s="83"/>
      <c r="K84" s="83"/>
    </row>
    <row r="85" spans="4:5" ht="13.5" thickBot="1">
      <c r="D85" s="127"/>
      <c r="E85" s="126">
        <f>E84*2</f>
        <v>469762</v>
      </c>
    </row>
    <row r="86" spans="4:5" ht="13.5" thickBot="1">
      <c r="D86" s="127"/>
      <c r="E86" s="126">
        <f>E84*3</f>
        <v>704643</v>
      </c>
    </row>
    <row r="87" spans="4:5" ht="13.5" thickBot="1">
      <c r="D87" s="127"/>
      <c r="E87" s="126">
        <f>E84*4</f>
        <v>939524</v>
      </c>
    </row>
    <row r="93" spans="4:5" ht="13.5" thickBot="1">
      <c r="D93" s="127" t="s">
        <v>62</v>
      </c>
      <c r="E93" s="126">
        <f>[2]!Hex2Dec(D93)</f>
        <v>1275892</v>
      </c>
    </row>
    <row r="96" ht="12.75">
      <c r="E96" s="1">
        <v>1275897.2104704</v>
      </c>
    </row>
  </sheetData>
  <printOptions/>
  <pageMargins left="0.75" right="0.75" top="1" bottom="1" header="0.4921259845" footer="0.4921259845"/>
  <pageSetup fitToHeight="1" fitToWidth="1" orientation="portrait" paperSize="9" scale="52" r:id="rId2"/>
  <headerFooter alignWithMargins="0">
    <oddHeader>&amp;L&amp;F    &amp;A&amp;R&amp;D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2011-06-13T16:39:41Z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